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veiviser\"/>
    </mc:Choice>
  </mc:AlternateContent>
  <xr:revisionPtr revIDLastSave="0" documentId="8_{EFCF5AB9-D447-4B73-9328-FD80F09EEE32}" xr6:coauthVersionLast="45" xr6:coauthVersionMax="45" xr10:uidLastSave="{00000000-0000-0000-0000-000000000000}"/>
  <bookViews>
    <workbookView xWindow="1245" yWindow="1050" windowWidth="25275" windowHeight="14895" activeTab="7" xr2:uid="{00000000-000D-0000-FFFF-FFFF00000000}"/>
  </bookViews>
  <sheets>
    <sheet name="Tabell 2.4" sheetId="10" r:id="rId1"/>
    <sheet name="Tabell 2.5" sheetId="11" r:id="rId2"/>
    <sheet name="Tabell 2.6" sheetId="3" r:id="rId3"/>
    <sheet name="Tabell 2.7" sheetId="7" r:id="rId4"/>
    <sheet name="Tabell 2.8" sheetId="6" r:id="rId5"/>
    <sheet name="Tabell 2.9" sheetId="12" r:id="rId6"/>
    <sheet name="Tabell 2.10" sheetId="5" r:id="rId7"/>
    <sheet name="Tabell 2.11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11" l="1"/>
  <c r="K7" i="11"/>
  <c r="E6" i="7" s="1"/>
  <c r="J7" i="11"/>
  <c r="D6" i="7" s="1"/>
  <c r="K6" i="11"/>
  <c r="E5" i="7" s="1"/>
  <c r="J6" i="11"/>
  <c r="D5" i="7" s="1"/>
  <c r="K69" i="11"/>
  <c r="K7" i="10"/>
  <c r="J7" i="10"/>
  <c r="K6" i="10"/>
  <c r="J6" i="10"/>
  <c r="K5" i="10"/>
  <c r="K8" i="10" s="1"/>
  <c r="J5" i="10"/>
  <c r="J8" i="10" s="1"/>
  <c r="I5" i="10"/>
  <c r="E31" i="10"/>
  <c r="E33" i="10" s="1"/>
  <c r="K11" i="10" s="1"/>
  <c r="D31" i="10"/>
  <c r="C4" i="10"/>
  <c r="C5" i="10" s="1"/>
  <c r="C6" i="10" s="1"/>
  <c r="B4" i="6"/>
  <c r="B26" i="11"/>
  <c r="B4" i="12" s="1"/>
  <c r="D8" i="3"/>
  <c r="D12" i="5"/>
  <c r="E8" i="3"/>
  <c r="C8" i="3"/>
  <c r="C12" i="5" s="1"/>
  <c r="B2" i="8"/>
  <c r="A4" i="8"/>
  <c r="A5" i="8"/>
  <c r="A6" i="8"/>
  <c r="A7" i="8"/>
  <c r="A8" i="8"/>
  <c r="C11" i="5"/>
  <c r="D11" i="5"/>
  <c r="E11" i="5"/>
  <c r="A12" i="5"/>
  <c r="E12" i="5"/>
  <c r="A13" i="5"/>
  <c r="A4" i="7"/>
  <c r="A5" i="7"/>
  <c r="A6" i="7"/>
  <c r="A7" i="7"/>
  <c r="A5" i="5" s="1"/>
  <c r="A8" i="7"/>
  <c r="A6" i="5" s="1"/>
  <c r="A9" i="7"/>
  <c r="A7" i="5" s="1"/>
  <c r="A10" i="7"/>
  <c r="A8" i="5" s="1"/>
  <c r="A11" i="7"/>
  <c r="A9" i="5" s="1"/>
  <c r="A7" i="3"/>
  <c r="A11" i="5" s="1"/>
  <c r="B7" i="3"/>
  <c r="B11" i="3" s="1"/>
  <c r="B13" i="7" s="1"/>
  <c r="I5" i="11"/>
  <c r="C4" i="7"/>
  <c r="J5" i="11"/>
  <c r="D4" i="7" s="1"/>
  <c r="K5" i="11"/>
  <c r="E4" i="7"/>
  <c r="I6" i="11"/>
  <c r="C5" i="7" s="1"/>
  <c r="I7" i="11"/>
  <c r="C6" i="7" s="1"/>
  <c r="C9" i="11"/>
  <c r="C4" i="6" s="1"/>
  <c r="C14" i="11"/>
  <c r="D14" i="11"/>
  <c r="C15" i="11"/>
  <c r="D15" i="11"/>
  <c r="C16" i="11"/>
  <c r="D16" i="11"/>
  <c r="B30" i="11"/>
  <c r="C30" i="11"/>
  <c r="I4" i="11" s="1"/>
  <c r="C31" i="11"/>
  <c r="B32" i="11" s="1"/>
  <c r="D31" i="11"/>
  <c r="D33" i="11" s="1"/>
  <c r="E31" i="11"/>
  <c r="D32" i="11" s="1"/>
  <c r="E32" i="11"/>
  <c r="J52" i="11"/>
  <c r="G54" i="11"/>
  <c r="G55" i="11"/>
  <c r="G56" i="11"/>
  <c r="G57" i="11"/>
  <c r="G58" i="11"/>
  <c r="G68" i="11"/>
  <c r="G69" i="11"/>
  <c r="B6" i="10"/>
  <c r="B6" i="11"/>
  <c r="I6" i="10"/>
  <c r="I7" i="10"/>
  <c r="C9" i="10"/>
  <c r="D9" i="10"/>
  <c r="E14" i="10"/>
  <c r="E14" i="11" s="1"/>
  <c r="E15" i="10"/>
  <c r="E16" i="10"/>
  <c r="E16" i="11" s="1"/>
  <c r="B26" i="10"/>
  <c r="H12" i="10"/>
  <c r="K12" i="10"/>
  <c r="B30" i="10"/>
  <c r="H4" i="10" s="1"/>
  <c r="C31" i="10"/>
  <c r="B32" i="10" s="1"/>
  <c r="C32" i="10"/>
  <c r="E32" i="10"/>
  <c r="H4" i="11"/>
  <c r="B6" i="3" s="1"/>
  <c r="B4" i="5"/>
  <c r="H69" i="11"/>
  <c r="B5" i="6"/>
  <c r="B6" i="6"/>
  <c r="C5" i="6" s="1"/>
  <c r="H12" i="11"/>
  <c r="B8" i="8" s="1"/>
  <c r="H57" i="11"/>
  <c r="B3" i="8"/>
  <c r="C33" i="11"/>
  <c r="I68" i="11" s="1"/>
  <c r="H53" i="11"/>
  <c r="B3" i="7"/>
  <c r="D32" i="10"/>
  <c r="K57" i="11"/>
  <c r="E11" i="7"/>
  <c r="E9" i="5"/>
  <c r="E8" i="8"/>
  <c r="D30" i="11"/>
  <c r="E30" i="11" s="1"/>
  <c r="K4" i="11" s="1"/>
  <c r="C10" i="8"/>
  <c r="B7" i="6"/>
  <c r="C15" i="5"/>
  <c r="C30" i="10"/>
  <c r="I4" i="10" s="1"/>
  <c r="E15" i="11"/>
  <c r="J4" i="11"/>
  <c r="J64" i="11" s="1"/>
  <c r="J61" i="11"/>
  <c r="J62" i="11"/>
  <c r="C6" i="6" l="1"/>
  <c r="D10" i="8" s="1"/>
  <c r="E20" i="10"/>
  <c r="I8" i="11"/>
  <c r="B11" i="7"/>
  <c r="B9" i="5" s="1"/>
  <c r="C32" i="11"/>
  <c r="D3" i="8"/>
  <c r="K8" i="11"/>
  <c r="H61" i="11"/>
  <c r="B33" i="10"/>
  <c r="H11" i="10" s="1"/>
  <c r="H13" i="10" s="1"/>
  <c r="I8" i="10"/>
  <c r="C3" i="7"/>
  <c r="C4" i="5"/>
  <c r="C6" i="3"/>
  <c r="C3" i="8"/>
  <c r="I64" i="11"/>
  <c r="I62" i="11"/>
  <c r="I53" i="11"/>
  <c r="I61" i="11"/>
  <c r="I63" i="11"/>
  <c r="C4" i="12"/>
  <c r="J68" i="11"/>
  <c r="J11" i="11"/>
  <c r="K53" i="11"/>
  <c r="K64" i="11"/>
  <c r="K62" i="11"/>
  <c r="E4" i="5"/>
  <c r="K61" i="11"/>
  <c r="E6" i="3"/>
  <c r="E3" i="7"/>
  <c r="E3" i="8"/>
  <c r="K63" i="11"/>
  <c r="E20" i="11"/>
  <c r="C33" i="10"/>
  <c r="I11" i="10" s="1"/>
  <c r="D6" i="3"/>
  <c r="D3" i="7"/>
  <c r="D4" i="5"/>
  <c r="D30" i="10"/>
  <c r="B33" i="11"/>
  <c r="D9" i="11"/>
  <c r="D4" i="6" s="1"/>
  <c r="B9" i="3"/>
  <c r="B11" i="5"/>
  <c r="D5" i="6"/>
  <c r="D15" i="5"/>
  <c r="J53" i="11"/>
  <c r="J63" i="11"/>
  <c r="J65" i="11" s="1"/>
  <c r="J9" i="10"/>
  <c r="J13" i="10" s="1"/>
  <c r="I11" i="11"/>
  <c r="D33" i="10"/>
  <c r="J11" i="10" s="1"/>
  <c r="J8" i="11"/>
  <c r="E33" i="11"/>
  <c r="C4" i="8" l="1"/>
  <c r="I54" i="11"/>
  <c r="C7" i="7"/>
  <c r="C5" i="5" s="1"/>
  <c r="E7" i="7"/>
  <c r="E5" i="5" s="1"/>
  <c r="K54" i="11"/>
  <c r="E4" i="8"/>
  <c r="I9" i="10"/>
  <c r="I13" i="10" s="1"/>
  <c r="K9" i="10"/>
  <c r="K13" i="10" s="1"/>
  <c r="I65" i="11"/>
  <c r="C7" i="6"/>
  <c r="K11" i="11"/>
  <c r="K68" i="11"/>
  <c r="H11" i="11"/>
  <c r="H68" i="11"/>
  <c r="H70" i="11" s="1"/>
  <c r="I56" i="11"/>
  <c r="C10" i="7"/>
  <c r="C8" i="5" s="1"/>
  <c r="C7" i="8"/>
  <c r="C9" i="3"/>
  <c r="C10" i="3"/>
  <c r="J54" i="11"/>
  <c r="D7" i="7"/>
  <c r="D5" i="5" s="1"/>
  <c r="D4" i="8"/>
  <c r="E30" i="10"/>
  <c r="K4" i="10" s="1"/>
  <c r="J4" i="10"/>
  <c r="D6" i="6"/>
  <c r="D7" i="6" s="1"/>
  <c r="I66" i="11"/>
  <c r="J66" i="11" s="1"/>
  <c r="K66" i="11" s="1"/>
  <c r="K9" i="11"/>
  <c r="J9" i="11"/>
  <c r="J13" i="11" s="1"/>
  <c r="I9" i="11"/>
  <c r="K65" i="11"/>
  <c r="J56" i="11"/>
  <c r="D10" i="7"/>
  <c r="D8" i="5" s="1"/>
  <c r="D7" i="8"/>
  <c r="K70" i="11" l="1"/>
  <c r="D12" i="7"/>
  <c r="J58" i="11"/>
  <c r="E8" i="7"/>
  <c r="E6" i="5" s="1"/>
  <c r="E5" i="8"/>
  <c r="K55" i="11"/>
  <c r="K13" i="11"/>
  <c r="D9" i="3"/>
  <c r="D10" i="3"/>
  <c r="B7" i="8"/>
  <c r="B9" i="8" s="1"/>
  <c r="B14" i="8" s="1"/>
  <c r="H13" i="11"/>
  <c r="B10" i="7"/>
  <c r="B8" i="5" s="1"/>
  <c r="H56" i="11"/>
  <c r="C5" i="8"/>
  <c r="I13" i="11"/>
  <c r="I55" i="11"/>
  <c r="C8" i="7"/>
  <c r="C6" i="5" s="1"/>
  <c r="E15" i="5"/>
  <c r="E10" i="8"/>
  <c r="E6" i="6"/>
  <c r="B5" i="12" s="1"/>
  <c r="I70" i="11"/>
  <c r="K56" i="11"/>
  <c r="E7" i="8"/>
  <c r="E10" i="7"/>
  <c r="E8" i="5" s="1"/>
  <c r="J55" i="11"/>
  <c r="D5" i="8"/>
  <c r="D12" i="8" s="1"/>
  <c r="D13" i="8" s="1"/>
  <c r="D8" i="7"/>
  <c r="D6" i="5" s="1"/>
  <c r="D9" i="8"/>
  <c r="C13" i="5"/>
  <c r="C11" i="3"/>
  <c r="C13" i="7" s="1"/>
  <c r="H72" i="11"/>
  <c r="J70" i="11"/>
  <c r="D14" i="8" l="1"/>
  <c r="C12" i="7"/>
  <c r="I58" i="11"/>
  <c r="H58" i="11"/>
  <c r="B12" i="7"/>
  <c r="C12" i="8"/>
  <c r="C13" i="8" s="1"/>
  <c r="C9" i="8"/>
  <c r="C14" i="8" s="1"/>
  <c r="E12" i="7"/>
  <c r="K58" i="11"/>
  <c r="C5" i="12"/>
  <c r="B6" i="12"/>
  <c r="E9" i="3"/>
  <c r="E10" i="3"/>
  <c r="E9" i="8"/>
  <c r="C17" i="5"/>
  <c r="C18" i="5" s="1"/>
  <c r="D13" i="5"/>
  <c r="D17" i="5" s="1"/>
  <c r="D18" i="5" s="1"/>
  <c r="D11" i="3"/>
  <c r="D13" i="7" s="1"/>
  <c r="D14" i="7" s="1"/>
  <c r="D14" i="5" s="1"/>
  <c r="D10" i="5"/>
  <c r="D19" i="5" l="1"/>
  <c r="B7" i="12"/>
  <c r="C6" i="12"/>
  <c r="C7" i="12" s="1"/>
  <c r="C10" i="5"/>
  <c r="C14" i="7"/>
  <c r="C14" i="5" s="1"/>
  <c r="C19" i="5" s="1"/>
  <c r="E13" i="5"/>
  <c r="E11" i="3"/>
  <c r="E13" i="7" s="1"/>
  <c r="E14" i="7" s="1"/>
  <c r="E14" i="5" s="1"/>
  <c r="B10" i="5"/>
  <c r="B14" i="7"/>
  <c r="B14" i="5" s="1"/>
  <c r="B19" i="5" s="1"/>
  <c r="E10" i="5"/>
  <c r="E16" i="5" l="1"/>
  <c r="E17" i="5" s="1"/>
  <c r="E18" i="5" s="1"/>
  <c r="E19" i="5" s="1"/>
  <c r="E11" i="8"/>
  <c r="E12" i="8" s="1"/>
  <c r="E13" i="8" s="1"/>
  <c r="E14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Dette regnearket kan du bruke til å budsjettere kontantstrømmen i tabell 2.4 som ligger i kolonnene G til K..
Produktkalkyle legges inn i linjene 3 til 5, salgsvolum i linje 10, faste kostnader i linjene 14 til 19,
anleggsinvestering og restverdi i linjene 23-27 og arbeidskapitalprosent i celle D26.
Fet font angir inngangsverdi, dvs. data du må legge inn. Vanlig font betyr utgangsverdi, dvs. beregnede tall.
Rød trekant i en celle angir at det ligger en kommentar til innholdet i cellen. Denne kommentaren kan du lese ved å klikke på cellen.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9" authorId="1" shapeId="0" xr:uid="{00000000-0006-0000-0000-000002000000}">
      <text>
        <r>
          <rPr>
            <sz val="9"/>
            <color indexed="81"/>
            <rFont val="Tahoma"/>
            <family val="2"/>
          </rPr>
          <t xml:space="preserve">Første driftsår. Årstallene deretter fylles ut automatisk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1" shapeId="0" xr:uid="{00000000-0006-0000-0000-000003000000}">
      <text>
        <r>
          <rPr>
            <sz val="9"/>
            <color indexed="81"/>
            <rFont val="Tahoma"/>
            <family val="2"/>
          </rPr>
          <t xml:space="preserve">Denne og de to postene under
legges inn direkte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>Dette regnearket kan du bruke til å budsjettere kontantstrømmen i tabell 2.5 som ligger i kolonnene G til K..
Produktkalkyle legges inn i linjene 3 til 5, salgsvolum i linje 10, faste utbetalinger i linjene 14 til 19,
anleggsinvestering og restverdi i linjene 23-27 og arbeidskapitalprosent i celle D26.
Fet font angir inngangsverdi, dvs. data du må legge inn. Vanlig font betyr utgangsverdi, dvs. beregnede tall.
Rød trekant i en celle angir at det ligger en kommentar til innholdet i cellen. Denne kommentaren kan du lese ved å klikke på cellen.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>Dette regnearket kan du bruke til å budsjettere kontantstrømmen til serielånet i tabell 2.6. Lånets løpetid kan  endres fra de oppgitte 3 årene. 
Fet font angir inngangsverdi, dvs. data du må legge inn. Vanlig font betyr utgangsverdi, dvs. beregnede tall.
Rød trekant i en celle angir at det ligger en kommentar til innholdet i cellen. Denne kommentaren kan du lese ved å klikke på cellen</t>
        </r>
      </text>
    </comment>
    <comment ref="B4" authorId="1" shapeId="0" xr:uid="{00000000-0006-0000-0200-000002000000}">
      <text>
        <r>
          <rPr>
            <sz val="9"/>
            <color indexed="81"/>
            <rFont val="Tahoma"/>
            <family val="2"/>
          </rPr>
          <t xml:space="preserve">Kan ikke endres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I dette regnarket vises tabell 2.7. Her er det ingen tall med fet font. Dette innbærer at alle inputdataene ligger i fanene for tabell 2.5 og 2.6 og må endres der.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I dette regnarket beregnes årlig avskrivning i linje 6 basert på saldosatsen i celle B2. </t>
        </r>
        <r>
          <rPr>
            <sz val="9"/>
            <color indexed="81"/>
            <rFont val="Tahoma"/>
            <family val="2"/>
          </rPr>
          <t xml:space="preserve">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  <comment ref="B2" authorId="1" shapeId="0" xr:uid="{00000000-0006-0000-0400-000002000000}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E6" authorId="1" shapeId="0" xr:uid="{00000000-0006-0000-0400-000003000000}">
      <text>
        <r>
          <rPr>
            <sz val="9"/>
            <color indexed="81"/>
            <rFont val="Tahoma"/>
            <family val="2"/>
          </rPr>
          <t xml:space="preserve">Samlet avskrivning ved planperiodens slutt.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I dette regnearket beregnes Salgsgevinst (+) ogt Salgsgevinst (-) for alternative restverdier som i tabell 2.9
Trykker du på plusstegnet foran linje 6 ser du hvordan tallene er beregnet.
Fet font angir inngangsverdi, dvs. data du må legge inn. Vanlig font betyr utgangsverdi, dvs. beregnede tall.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Når du legger inn skattesatsen i celle C3 budsjetteres kontantstrøm til egenkapitalen etter skatt.
Øvrige forutsetninger endrer du i fanene slik:
Tabell 2.5: Produktkalkyle, prisendring, salgsbudsjett, faste utbetalinger, annleggsinvestering og restverdi samt arbeidskapitalprosent
Tabell 2.6: Lånebeløp og rentesats
Tabell 2.8: Saldosats
Vil du ha en samlet oversikt kan du bruke Regnearket </t>
        </r>
        <r>
          <rPr>
            <i/>
            <sz val="11"/>
            <color indexed="81"/>
            <rFont val="Times New Roman"/>
            <family val="1"/>
          </rPr>
          <t xml:space="preserve">Budsjettering </t>
        </r>
        <r>
          <rPr>
            <sz val="11"/>
            <color indexed="81"/>
            <rFont val="Times New Roman"/>
            <family val="1"/>
          </rPr>
          <t xml:space="preserve">som du finner bak høyreknappen Regneark.
Fet font angir inngangsverdi, dvs. data du må legge inn. Vanlig font betyr utgangsverdi, dvs. beregnede tall.
Rød trekant i en celle angir at det ligger en kommentar til innholdet i cellen. Denne kommentaren kan du lese ved å klikke på cellen.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700-000001000000}">
      <text>
        <r>
          <rPr>
            <sz val="9"/>
            <color indexed="81"/>
            <rFont val="Tahoma"/>
            <family val="2"/>
          </rPr>
          <t xml:space="preserve">I dette regnearket budsjetteres kontantstrøm til totalkapitalen før skattg (linje 9) og etter skatt (linje 14)
Forutsetnigene beregningen bygger på er lagt inn i regnearkene slik:
Tabell 2.5: Produktkalkyle, prisendring, salgsbudsjett, faste utbetalinger, annleggsinvestering og restverdi samt arbeidskapitalprosent
Tabell 2.6: Lånebeløp og rentesats
Tabell 2.8: Saldosats
Tabell 2.10: Skattesats
Vil du ha en samlet oversikt kan du bruke Regnearket </t>
        </r>
        <r>
          <rPr>
            <i/>
            <sz val="9"/>
            <color indexed="81"/>
            <rFont val="Tahoma"/>
            <family val="2"/>
          </rPr>
          <t>Budsjettering</t>
        </r>
        <r>
          <rPr>
            <sz val="9"/>
            <color indexed="81"/>
            <rFont val="Tahoma"/>
            <family val="2"/>
          </rPr>
          <t xml:space="preserve"> som du finner bak høyreknappen Regneark.</t>
        </r>
      </text>
    </comment>
  </commentList>
</comments>
</file>

<file path=xl/sharedStrings.xml><?xml version="1.0" encoding="utf-8"?>
<sst xmlns="http://schemas.openxmlformats.org/spreadsheetml/2006/main" count="161" uniqueCount="88">
  <si>
    <t>Les dette</t>
  </si>
  <si>
    <t>Omsetning</t>
  </si>
  <si>
    <t>Arbeidskapitalprosent</t>
  </si>
  <si>
    <t>År</t>
  </si>
  <si>
    <t>a. Produktkalkyle, kroner pr sykkel</t>
  </si>
  <si>
    <t>Prisendring</t>
  </si>
  <si>
    <t>Salgspris</t>
  </si>
  <si>
    <t>Råmaterialer og innkjøpte deler</t>
  </si>
  <si>
    <t>Råmaterialer</t>
  </si>
  <si>
    <t>Produksjonslønn</t>
  </si>
  <si>
    <t>Dekningsbidrag pr. sykkel</t>
  </si>
  <si>
    <t>Dekningsbidrag</t>
  </si>
  <si>
    <t>Faste utbetalinger</t>
  </si>
  <si>
    <t>b. Salgsbudsjett, antall sykler</t>
  </si>
  <si>
    <t>Investering</t>
  </si>
  <si>
    <t xml:space="preserve">     Arbeidskapital</t>
  </si>
  <si>
    <t>Salgvolum</t>
  </si>
  <si>
    <t xml:space="preserve">     Anleggskapital/restverdi</t>
  </si>
  <si>
    <t>Kontantstrøm</t>
  </si>
  <si>
    <t>Antall</t>
  </si>
  <si>
    <t>Enhet</t>
  </si>
  <si>
    <t>Lønn</t>
  </si>
  <si>
    <t>årsverk</t>
  </si>
  <si>
    <t>Husleie</t>
  </si>
  <si>
    <r>
      <t>m</t>
    </r>
    <r>
      <rPr>
        <vertAlign val="superscript"/>
        <sz val="11"/>
        <rFont val="Times New Roman"/>
        <family val="1"/>
      </rPr>
      <t>2</t>
    </r>
  </si>
  <si>
    <t>Elektrisitet</t>
  </si>
  <si>
    <t>kWh</t>
  </si>
  <si>
    <t>Forsikringer</t>
  </si>
  <si>
    <t>Markedsføring og salg</t>
  </si>
  <si>
    <t>Diverse</t>
  </si>
  <si>
    <t>d. Anleggskapital, 1 000 kroner</t>
  </si>
  <si>
    <t>Maskiner</t>
  </si>
  <si>
    <t>Inventar</t>
  </si>
  <si>
    <t>Sum anleggsinvestering</t>
  </si>
  <si>
    <t>Restverdi</t>
  </si>
  <si>
    <t>e. Arbeidskapital</t>
  </si>
  <si>
    <t>Beholdning arbeidskapital</t>
  </si>
  <si>
    <t>Investering, arbeidskapital</t>
  </si>
  <si>
    <t>ir</t>
  </si>
  <si>
    <t>Lånebeløp</t>
  </si>
  <si>
    <t>1 000 kr</t>
  </si>
  <si>
    <t>Nominell rentesats</t>
  </si>
  <si>
    <t>p.a.</t>
  </si>
  <si>
    <t>Avdrag</t>
  </si>
  <si>
    <t>Restgjeld</t>
  </si>
  <si>
    <t>Renter</t>
  </si>
  <si>
    <t>Saldosats</t>
  </si>
  <si>
    <t>Resultat før skatt</t>
  </si>
  <si>
    <t>Skatt</t>
  </si>
  <si>
    <t>Bokført verdi før avskrivning</t>
  </si>
  <si>
    <t>Skattesats</t>
  </si>
  <si>
    <t>Kontantstrøm til egenkapitalen</t>
  </si>
  <si>
    <t>Tabell 2.4</t>
  </si>
  <si>
    <t>Tabell 2.5</t>
  </si>
  <si>
    <t>Bokført verdi etter avskrivning</t>
  </si>
  <si>
    <t>Kontantstrøm til egenkapitalen etter skatt</t>
  </si>
  <si>
    <t>Tabell 2.8</t>
  </si>
  <si>
    <t>Tabell 2.9</t>
  </si>
  <si>
    <t>Tabell 2.11.</t>
  </si>
  <si>
    <t>Tabell 2.10.</t>
  </si>
  <si>
    <t>Kontantstrøm til totalkapitalen etter skatt</t>
  </si>
  <si>
    <t>Referanse</t>
  </si>
  <si>
    <t>Salgsgevinst(+) / Salgstap (-)</t>
  </si>
  <si>
    <t>Kontantstrøm til egenkapitalen før skatt</t>
  </si>
  <si>
    <t>Salgsgevinst (+) / Salgstap (-)</t>
  </si>
  <si>
    <t>20 % avskrivning av bokført verdi</t>
  </si>
  <si>
    <t>Bokført verdi</t>
  </si>
  <si>
    <t>Salgsgevinst (+)/Salgstap(-)</t>
  </si>
  <si>
    <t>Prosjektets kontantstrøm</t>
  </si>
  <si>
    <t>Lånets kontantstrøm</t>
  </si>
  <si>
    <t>Sum avskrivninger</t>
  </si>
  <si>
    <t>Kontantstrøm til totalkapitalen før skatt</t>
  </si>
  <si>
    <t>Kontantstrøm til totalkapitalen</t>
  </si>
  <si>
    <t>Avskrivning</t>
  </si>
  <si>
    <t>Pris/enhet</t>
  </si>
  <si>
    <t>Tusen kr.</t>
  </si>
  <si>
    <t>(tusen  kr.)</t>
  </si>
  <si>
    <t>Pris(kr./enhet)</t>
  </si>
  <si>
    <t>Alternative restverdier</t>
  </si>
  <si>
    <t>kr/enhet</t>
  </si>
  <si>
    <t xml:space="preserve">Løpetid </t>
  </si>
  <si>
    <t>år</t>
  </si>
  <si>
    <t>Tabell 2.7</t>
  </si>
  <si>
    <t>Resultat før skatt*</t>
  </si>
  <si>
    <t>c. Faste kostnader</t>
  </si>
  <si>
    <t>Kostnader</t>
  </si>
  <si>
    <t>Sum faste kostnader</t>
  </si>
  <si>
    <t>Faste kostnader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</si>
</sst>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\ %"/>
    <numFmt numFmtId="165" formatCode="_ * #,##0_ ;_ * \-#,##0_ ;_ * &quot;-&quot;??_ ;_ @_ "/>
    <numFmt numFmtId="166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vertAlign val="superscript"/>
      <sz val="11"/>
      <name val="Times New Roman"/>
      <family val="1"/>
    </font>
    <font>
      <sz val="8"/>
      <color indexed="81"/>
      <name val="Tahoma"/>
      <family val="2"/>
    </font>
    <font>
      <sz val="9"/>
      <color indexed="81"/>
      <name val="Tahoma"/>
      <family val="2"/>
    </font>
    <font>
      <sz val="12"/>
      <name val="Times New Roman"/>
      <family val="1"/>
    </font>
    <font>
      <b/>
      <sz val="9"/>
      <color indexed="81"/>
      <name val="Tahoma"/>
      <family val="2"/>
    </font>
    <font>
      <i/>
      <sz val="11"/>
      <color indexed="81"/>
      <name val="Times New Roman"/>
      <family val="1"/>
    </font>
    <font>
      <i/>
      <sz val="9"/>
      <color indexed="81"/>
      <name val="Tahoma"/>
      <family val="2"/>
    </font>
    <font>
      <sz val="10"/>
      <name val="Times New Roman"/>
      <family val="1"/>
    </font>
    <font>
      <sz val="10"/>
      <color indexed="10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7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quotePrefix="1" applyAlignment="1">
      <alignment horizontal="left"/>
    </xf>
    <xf numFmtId="3" fontId="0" fillId="0" borderId="0" xfId="0" applyNumberFormat="1"/>
    <xf numFmtId="0" fontId="6" fillId="0" borderId="0" xfId="0" applyFont="1"/>
    <xf numFmtId="0" fontId="5" fillId="0" borderId="0" xfId="3" applyFont="1"/>
    <xf numFmtId="0" fontId="6" fillId="0" borderId="0" xfId="3" applyFont="1"/>
    <xf numFmtId="0" fontId="6" fillId="0" borderId="0" xfId="3" applyFont="1" applyAlignment="1">
      <alignment horizontal="center"/>
    </xf>
    <xf numFmtId="0" fontId="6" fillId="0" borderId="0" xfId="3" quotePrefix="1" applyFont="1" applyAlignment="1">
      <alignment horizontal="left"/>
    </xf>
    <xf numFmtId="3" fontId="5" fillId="0" borderId="0" xfId="3" applyNumberFormat="1" applyFont="1"/>
    <xf numFmtId="3" fontId="6" fillId="0" borderId="0" xfId="3" applyNumberFormat="1" applyFont="1"/>
    <xf numFmtId="0" fontId="6" fillId="0" borderId="0" xfId="3" applyFont="1" applyAlignment="1">
      <alignment horizontal="right"/>
    </xf>
    <xf numFmtId="3" fontId="6" fillId="0" borderId="0" xfId="3" applyNumberFormat="1" applyFont="1" applyAlignment="1">
      <alignment horizontal="right"/>
    </xf>
    <xf numFmtId="3" fontId="6" fillId="0" borderId="0" xfId="3" quotePrefix="1" applyNumberFormat="1" applyFont="1" applyAlignment="1">
      <alignment horizontal="right"/>
    </xf>
    <xf numFmtId="9" fontId="5" fillId="0" borderId="0" xfId="3" applyNumberFormat="1" applyFont="1"/>
    <xf numFmtId="9" fontId="5" fillId="0" borderId="0" xfId="4" applyFont="1"/>
    <xf numFmtId="165" fontId="6" fillId="0" borderId="0" xfId="1" applyNumberFormat="1" applyFont="1"/>
    <xf numFmtId="3" fontId="6" fillId="0" borderId="1" xfId="3" applyNumberFormat="1" applyFont="1" applyBorder="1"/>
    <xf numFmtId="3" fontId="6" fillId="0" borderId="2" xfId="3" applyNumberFormat="1" applyFont="1" applyBorder="1" applyAlignment="1">
      <alignment horizontal="right"/>
    </xf>
    <xf numFmtId="3" fontId="6" fillId="0" borderId="2" xfId="3" applyNumberFormat="1" applyFont="1" applyBorder="1" applyAlignment="1">
      <alignment horizontal="left"/>
    </xf>
    <xf numFmtId="165" fontId="6" fillId="0" borderId="0" xfId="1" applyNumberFormat="1" applyFont="1" applyAlignment="1">
      <alignment horizontal="center"/>
    </xf>
    <xf numFmtId="9" fontId="6" fillId="0" borderId="0" xfId="3" applyNumberFormat="1" applyFont="1"/>
    <xf numFmtId="164" fontId="5" fillId="0" borderId="0" xfId="4" applyNumberFormat="1" applyFont="1"/>
    <xf numFmtId="165" fontId="0" fillId="0" borderId="0" xfId="0" applyNumberFormat="1"/>
    <xf numFmtId="3" fontId="6" fillId="0" borderId="0" xfId="1" applyNumberFormat="1" applyFont="1"/>
    <xf numFmtId="3" fontId="6" fillId="0" borderId="2" xfId="3" applyNumberFormat="1" applyFont="1" applyBorder="1" applyAlignment="1">
      <alignment horizontal="center"/>
    </xf>
    <xf numFmtId="1" fontId="0" fillId="0" borderId="0" xfId="0" applyNumberFormat="1"/>
    <xf numFmtId="9" fontId="6" fillId="0" borderId="0" xfId="4" applyFont="1"/>
    <xf numFmtId="0" fontId="10" fillId="0" borderId="0" xfId="0" applyFont="1"/>
    <xf numFmtId="0" fontId="2" fillId="0" borderId="0" xfId="0" applyFont="1"/>
    <xf numFmtId="0" fontId="6" fillId="0" borderId="2" xfId="3" applyFont="1" applyBorder="1" applyAlignment="1">
      <alignment horizontal="right"/>
    </xf>
    <xf numFmtId="0" fontId="6" fillId="0" borderId="2" xfId="3" quotePrefix="1" applyFont="1" applyBorder="1" applyAlignment="1">
      <alignment horizontal="right"/>
    </xf>
    <xf numFmtId="0" fontId="18" fillId="0" borderId="0" xfId="0" applyFont="1"/>
    <xf numFmtId="0" fontId="19" fillId="0" borderId="0" xfId="3" applyFont="1"/>
    <xf numFmtId="9" fontId="6" fillId="0" borderId="0" xfId="5" applyFont="1"/>
    <xf numFmtId="165" fontId="6" fillId="0" borderId="2" xfId="1" applyNumberFormat="1" applyFont="1" applyBorder="1"/>
    <xf numFmtId="0" fontId="6" fillId="0" borderId="2" xfId="0" applyFont="1" applyBorder="1"/>
    <xf numFmtId="0" fontId="5" fillId="0" borderId="0" xfId="0" applyFont="1"/>
    <xf numFmtId="9" fontId="5" fillId="0" borderId="0" xfId="0" applyNumberFormat="1" applyFont="1"/>
    <xf numFmtId="3" fontId="6" fillId="0" borderId="0" xfId="0" applyNumberFormat="1" applyFont="1"/>
    <xf numFmtId="3" fontId="6" fillId="0" borderId="0" xfId="2" applyNumberFormat="1" applyFont="1"/>
    <xf numFmtId="0" fontId="6" fillId="0" borderId="1" xfId="0" applyFont="1" applyBorder="1"/>
    <xf numFmtId="3" fontId="6" fillId="0" borderId="1" xfId="0" applyNumberFormat="1" applyFont="1" applyBorder="1"/>
    <xf numFmtId="3" fontId="5" fillId="0" borderId="0" xfId="0" applyNumberFormat="1" applyFont="1" applyBorder="1" applyAlignment="1">
      <alignment wrapText="1"/>
    </xf>
    <xf numFmtId="0" fontId="6" fillId="0" borderId="0" xfId="0" quotePrefix="1" applyFont="1"/>
    <xf numFmtId="0" fontId="6" fillId="0" borderId="2" xfId="0" quotePrefix="1" applyFont="1" applyBorder="1"/>
    <xf numFmtId="165" fontId="6" fillId="0" borderId="0" xfId="0" applyNumberFormat="1" applyFont="1"/>
    <xf numFmtId="165" fontId="6" fillId="0" borderId="2" xfId="0" applyNumberFormat="1" applyFont="1" applyBorder="1"/>
    <xf numFmtId="0" fontId="6" fillId="0" borderId="2" xfId="3" applyFont="1" applyBorder="1"/>
    <xf numFmtId="3" fontId="6" fillId="0" borderId="2" xfId="3" applyNumberFormat="1" applyFont="1" applyBorder="1"/>
    <xf numFmtId="3" fontId="5" fillId="0" borderId="2" xfId="3" applyNumberFormat="1" applyFont="1" applyBorder="1"/>
    <xf numFmtId="0" fontId="6" fillId="0" borderId="3" xfId="3" applyFont="1" applyBorder="1"/>
    <xf numFmtId="3" fontId="6" fillId="0" borderId="3" xfId="3" applyNumberFormat="1" applyFont="1" applyBorder="1"/>
    <xf numFmtId="0" fontId="6" fillId="0" borderId="1" xfId="3" quotePrefix="1" applyFont="1" applyBorder="1" applyAlignment="1">
      <alignment horizontal="left"/>
    </xf>
    <xf numFmtId="3" fontId="6" fillId="0" borderId="1" xfId="3" applyNumberFormat="1" applyFont="1" applyBorder="1" applyAlignment="1">
      <alignment horizontal="right"/>
    </xf>
    <xf numFmtId="0" fontId="5" fillId="0" borderId="0" xfId="3" applyFont="1" applyAlignment="1">
      <alignment horizontal="right"/>
    </xf>
    <xf numFmtId="0" fontId="14" fillId="0" borderId="0" xfId="3" applyFont="1"/>
    <xf numFmtId="0" fontId="14" fillId="0" borderId="0" xfId="3" applyFont="1" applyAlignment="1">
      <alignment horizontal="right"/>
    </xf>
    <xf numFmtId="0" fontId="14" fillId="0" borderId="2" xfId="3" applyFont="1" applyBorder="1"/>
    <xf numFmtId="0" fontId="14" fillId="0" borderId="0" xfId="0" applyFont="1"/>
    <xf numFmtId="0" fontId="14" fillId="0" borderId="0" xfId="0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14" fillId="0" borderId="0" xfId="0" quotePrefix="1" applyFont="1" applyAlignment="1">
      <alignment horizontal="left"/>
    </xf>
    <xf numFmtId="164" fontId="14" fillId="0" borderId="0" xfId="3" applyNumberFormat="1" applyFont="1" applyAlignment="1">
      <alignment horizontal="right"/>
    </xf>
    <xf numFmtId="3" fontId="14" fillId="0" borderId="0" xfId="3" applyNumberFormat="1" applyFont="1" applyAlignment="1">
      <alignment horizontal="right"/>
    </xf>
    <xf numFmtId="0" fontId="14" fillId="0" borderId="0" xfId="3" quotePrefix="1" applyFont="1" applyAlignment="1">
      <alignment horizontal="left"/>
    </xf>
    <xf numFmtId="0" fontId="14" fillId="0" borderId="0" xfId="3" quotePrefix="1" applyFont="1" applyAlignment="1">
      <alignment horizontal="right"/>
    </xf>
    <xf numFmtId="0" fontId="15" fillId="0" borderId="0" xfId="3" applyFont="1"/>
    <xf numFmtId="3" fontId="14" fillId="0" borderId="0" xfId="0" applyNumberFormat="1" applyFont="1"/>
    <xf numFmtId="0" fontId="20" fillId="0" borderId="0" xfId="0" applyFont="1"/>
    <xf numFmtId="0" fontId="6" fillId="0" borderId="2" xfId="3" quotePrefix="1" applyFont="1" applyBorder="1" applyAlignment="1">
      <alignment horizontal="left"/>
    </xf>
    <xf numFmtId="0" fontId="5" fillId="0" borderId="2" xfId="3" applyFont="1" applyBorder="1"/>
    <xf numFmtId="3" fontId="5" fillId="0" borderId="3" xfId="3" applyNumberFormat="1" applyFont="1" applyBorder="1"/>
    <xf numFmtId="3" fontId="6" fillId="0" borderId="0" xfId="3" applyNumberFormat="1" applyFont="1" applyBorder="1" applyAlignment="1">
      <alignment horizontal="left"/>
    </xf>
    <xf numFmtId="3" fontId="6" fillId="0" borderId="2" xfId="0" applyNumberFormat="1" applyFont="1" applyBorder="1"/>
    <xf numFmtId="3" fontId="6" fillId="0" borderId="2" xfId="2" applyNumberFormat="1" applyFont="1" applyBorder="1"/>
    <xf numFmtId="0" fontId="16" fillId="0" borderId="0" xfId="0" applyFont="1"/>
    <xf numFmtId="3" fontId="6" fillId="0" borderId="2" xfId="1" applyNumberFormat="1" applyFont="1" applyBorder="1"/>
    <xf numFmtId="0" fontId="6" fillId="0" borderId="4" xfId="0" quotePrefix="1" applyFont="1" applyBorder="1"/>
    <xf numFmtId="165" fontId="6" fillId="0" borderId="4" xfId="0" applyNumberFormat="1" applyFont="1" applyBorder="1"/>
    <xf numFmtId="3" fontId="6" fillId="0" borderId="4" xfId="3" applyNumberFormat="1" applyFont="1" applyBorder="1"/>
    <xf numFmtId="0" fontId="6" fillId="0" borderId="0" xfId="3" applyFont="1" applyAlignment="1">
      <alignment horizontal="right"/>
    </xf>
    <xf numFmtId="0" fontId="6" fillId="0" borderId="0" xfId="3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5" fontId="6" fillId="0" borderId="2" xfId="1" applyNumberFormat="1" applyFont="1" applyBorder="1" applyAlignment="1">
      <alignment horizontal="center"/>
    </xf>
    <xf numFmtId="0" fontId="6" fillId="0" borderId="0" xfId="0" quotePrefix="1" applyFont="1" applyAlignment="1">
      <alignment horizontal="center"/>
    </xf>
    <xf numFmtId="0" fontId="0" fillId="0" borderId="0" xfId="0" applyAlignment="1">
      <alignment horizontal="center"/>
    </xf>
  </cellXfs>
  <cellStyles count="6">
    <cellStyle name="Comma 2" xfId="2" xr:uid="{00000000-0005-0000-0000-000001000000}"/>
    <cellStyle name="Komma" xfId="1" builtinId="3"/>
    <cellStyle name="Normal" xfId="0" builtinId="0"/>
    <cellStyle name="Normal 2" xfId="3" xr:uid="{00000000-0005-0000-0000-000003000000}"/>
    <cellStyle name="Percent 2" xfId="5" xr:uid="{00000000-0005-0000-0000-000005000000}"/>
    <cellStyle name="Pros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7"/>
  <sheetViews>
    <sheetView zoomScale="140" zoomScaleNormal="140" workbookViewId="0"/>
  </sheetViews>
  <sheetFormatPr baseColWidth="10" defaultColWidth="11.42578125" defaultRowHeight="12.75" x14ac:dyDescent="0.2"/>
  <cols>
    <col min="1" max="1" width="30.140625" style="55" customWidth="1"/>
    <col min="2" max="3" width="11.42578125" style="55" customWidth="1"/>
    <col min="4" max="4" width="14.42578125" style="55" customWidth="1"/>
    <col min="5" max="5" width="9.85546875" style="55" customWidth="1"/>
    <col min="6" max="6" width="11.28515625" style="55" customWidth="1"/>
    <col min="7" max="7" width="26.42578125" style="55" customWidth="1"/>
    <col min="8" max="8" width="10.42578125" style="56" customWidth="1"/>
    <col min="9" max="9" width="11.5703125" style="56" customWidth="1"/>
    <col min="10" max="10" width="10.7109375" style="56" bestFit="1" customWidth="1"/>
    <col min="11" max="11" width="10.28515625" style="56" bestFit="1" customWidth="1"/>
    <col min="12" max="16384" width="11.42578125" style="55"/>
  </cols>
  <sheetData>
    <row r="1" spans="1:11" ht="13.5" customHeight="1" x14ac:dyDescent="0.25">
      <c r="A1" s="4" t="s">
        <v>0</v>
      </c>
      <c r="B1" s="5"/>
      <c r="C1" s="5"/>
      <c r="D1" s="5"/>
      <c r="E1" s="5"/>
      <c r="F1" s="5"/>
    </row>
    <row r="2" spans="1:11" ht="15" x14ac:dyDescent="0.25">
      <c r="A2" s="7" t="s">
        <v>4</v>
      </c>
      <c r="B2" s="5"/>
      <c r="C2" s="5"/>
      <c r="D2" s="5"/>
      <c r="E2" s="5"/>
      <c r="F2" s="5"/>
      <c r="I2" s="56" t="s">
        <v>52</v>
      </c>
    </row>
    <row r="3" spans="1:11" ht="15" x14ac:dyDescent="0.25">
      <c r="A3" s="5" t="s">
        <v>6</v>
      </c>
      <c r="B3" s="8">
        <v>12000</v>
      </c>
      <c r="C3" s="33" t="s">
        <v>79</v>
      </c>
      <c r="D3" s="5"/>
      <c r="E3" s="5"/>
      <c r="F3" s="5"/>
      <c r="G3" s="5"/>
      <c r="H3" s="80" t="s">
        <v>3</v>
      </c>
      <c r="I3" s="80"/>
      <c r="J3" s="80"/>
      <c r="K3" s="80"/>
    </row>
    <row r="4" spans="1:11" ht="15" x14ac:dyDescent="0.25">
      <c r="A4" s="7" t="s">
        <v>7</v>
      </c>
      <c r="B4" s="8">
        <v>-5500</v>
      </c>
      <c r="C4" s="20" t="str">
        <f>C3</f>
        <v>kr/enhet</v>
      </c>
      <c r="D4" s="5"/>
      <c r="E4" s="5"/>
      <c r="F4" s="5"/>
      <c r="G4" s="18"/>
      <c r="H4" s="17">
        <f>B30</f>
        <v>2015</v>
      </c>
      <c r="I4" s="17">
        <f>C30</f>
        <v>2016</v>
      </c>
      <c r="J4" s="17">
        <f>D30</f>
        <v>2017</v>
      </c>
      <c r="K4" s="17">
        <f>E30</f>
        <v>2018</v>
      </c>
    </row>
    <row r="5" spans="1:11" ht="15" x14ac:dyDescent="0.25">
      <c r="A5" s="5" t="s">
        <v>9</v>
      </c>
      <c r="B5" s="8">
        <v>-1700</v>
      </c>
      <c r="C5" s="20" t="str">
        <f>C4</f>
        <v>kr/enhet</v>
      </c>
      <c r="D5" s="5"/>
      <c r="E5" s="5"/>
      <c r="F5" s="5"/>
      <c r="G5" s="5" t="s">
        <v>1</v>
      </c>
      <c r="H5" s="11"/>
      <c r="I5" s="11">
        <f t="shared" ref="I5:K7" si="0">$B3*B$10/1000</f>
        <v>12000</v>
      </c>
      <c r="J5" s="11">
        <f t="shared" si="0"/>
        <v>22800</v>
      </c>
      <c r="K5" s="11">
        <f t="shared" si="0"/>
        <v>9600</v>
      </c>
    </row>
    <row r="6" spans="1:11" ht="15" x14ac:dyDescent="0.25">
      <c r="A6" s="7" t="s">
        <v>10</v>
      </c>
      <c r="B6" s="9">
        <f>SUM(B3:B5)</f>
        <v>4800</v>
      </c>
      <c r="C6" s="20" t="str">
        <f>C5</f>
        <v>kr/enhet</v>
      </c>
      <c r="D6" s="5"/>
      <c r="E6" s="5"/>
      <c r="F6" s="5"/>
      <c r="G6" s="5" t="s">
        <v>8</v>
      </c>
      <c r="H6" s="11"/>
      <c r="I6" s="11">
        <f t="shared" si="0"/>
        <v>-5500</v>
      </c>
      <c r="J6" s="11">
        <f t="shared" si="0"/>
        <v>-10450</v>
      </c>
      <c r="K6" s="11">
        <f t="shared" si="0"/>
        <v>-4400</v>
      </c>
    </row>
    <row r="7" spans="1:11" ht="15" x14ac:dyDescent="0.25">
      <c r="A7" s="5"/>
      <c r="B7" s="5"/>
      <c r="C7" s="5"/>
      <c r="D7" s="5"/>
      <c r="E7" s="5"/>
      <c r="F7" s="4"/>
      <c r="G7" s="5" t="s">
        <v>9</v>
      </c>
      <c r="H7" s="11"/>
      <c r="I7" s="11">
        <f t="shared" si="0"/>
        <v>-1700</v>
      </c>
      <c r="J7" s="11">
        <f t="shared" si="0"/>
        <v>-3230</v>
      </c>
      <c r="K7" s="11">
        <f t="shared" si="0"/>
        <v>-1360</v>
      </c>
    </row>
    <row r="8" spans="1:11" ht="15" x14ac:dyDescent="0.25">
      <c r="A8" s="7" t="s">
        <v>13</v>
      </c>
      <c r="B8" s="5"/>
      <c r="C8" s="6" t="s">
        <v>3</v>
      </c>
      <c r="D8" s="5"/>
      <c r="E8" s="5"/>
      <c r="F8" s="5"/>
      <c r="G8" s="5" t="s">
        <v>11</v>
      </c>
      <c r="H8" s="11"/>
      <c r="I8" s="11">
        <f>SUM(I5:I7)</f>
        <v>4800</v>
      </c>
      <c r="J8" s="11">
        <f>SUM(J5:J7)</f>
        <v>9120</v>
      </c>
      <c r="K8" s="11">
        <f>SUM(K5:K7)</f>
        <v>3840</v>
      </c>
    </row>
    <row r="9" spans="1:11" ht="15" x14ac:dyDescent="0.25">
      <c r="A9" s="5"/>
      <c r="B9" s="4">
        <v>2016</v>
      </c>
      <c r="C9" s="5">
        <f>B9+1</f>
        <v>2017</v>
      </c>
      <c r="D9" s="5">
        <f>C9+1</f>
        <v>2018</v>
      </c>
      <c r="E9" s="5"/>
      <c r="F9" s="5"/>
      <c r="G9" s="5" t="s">
        <v>87</v>
      </c>
      <c r="H9" s="11"/>
      <c r="I9" s="11">
        <f>$E$20</f>
        <v>-3055</v>
      </c>
      <c r="J9" s="11">
        <f>$E$20*(1+F20)</f>
        <v>-3055</v>
      </c>
      <c r="K9" s="11">
        <f>$E$20*(1+F20)^2</f>
        <v>-3055</v>
      </c>
    </row>
    <row r="10" spans="1:11" ht="15" x14ac:dyDescent="0.25">
      <c r="A10" s="5" t="s">
        <v>16</v>
      </c>
      <c r="B10" s="8">
        <v>1000</v>
      </c>
      <c r="C10" s="8">
        <v>1900</v>
      </c>
      <c r="D10" s="8">
        <v>800</v>
      </c>
      <c r="E10" s="5"/>
      <c r="F10" s="5"/>
      <c r="G10" s="5" t="s">
        <v>14</v>
      </c>
      <c r="H10" s="11"/>
      <c r="I10" s="11"/>
      <c r="J10" s="11"/>
      <c r="K10" s="11"/>
    </row>
    <row r="11" spans="1:11" ht="15" x14ac:dyDescent="0.25">
      <c r="A11" s="5"/>
      <c r="B11" s="5"/>
      <c r="C11" s="5"/>
      <c r="D11" s="5"/>
      <c r="E11" s="5"/>
      <c r="F11" s="5"/>
      <c r="G11" s="7" t="s">
        <v>15</v>
      </c>
      <c r="H11" s="11">
        <f>B33</f>
        <v>-1800</v>
      </c>
      <c r="I11" s="11">
        <f>C33</f>
        <v>-1620</v>
      </c>
      <c r="J11" s="11">
        <f>D33</f>
        <v>1980</v>
      </c>
      <c r="K11" s="11">
        <f>E33</f>
        <v>1440</v>
      </c>
    </row>
    <row r="12" spans="1:11" ht="15" x14ac:dyDescent="0.25">
      <c r="A12" s="7" t="s">
        <v>84</v>
      </c>
      <c r="B12" s="10" t="s">
        <v>19</v>
      </c>
      <c r="C12" s="10" t="s">
        <v>20</v>
      </c>
      <c r="D12" s="10" t="s">
        <v>77</v>
      </c>
      <c r="E12" s="5" t="s">
        <v>85</v>
      </c>
      <c r="F12" s="5"/>
      <c r="G12" s="7" t="s">
        <v>17</v>
      </c>
      <c r="H12" s="11">
        <f>B26</f>
        <v>-8800</v>
      </c>
      <c r="I12" s="11"/>
      <c r="J12" s="11"/>
      <c r="K12" s="11">
        <f>B27*(1+C27)^2</f>
        <v>3200</v>
      </c>
    </row>
    <row r="13" spans="1:11" ht="15.75" thickBot="1" x14ac:dyDescent="0.3">
      <c r="A13" s="57"/>
      <c r="B13" s="29"/>
      <c r="C13" s="29"/>
      <c r="D13" s="29"/>
      <c r="E13" s="30" t="s">
        <v>76</v>
      </c>
      <c r="F13" s="5"/>
      <c r="G13" s="16" t="s">
        <v>68</v>
      </c>
      <c r="H13" s="53">
        <f>SUM(H8:H12)</f>
        <v>-10600</v>
      </c>
      <c r="I13" s="53">
        <f>SUM(I8:I12)</f>
        <v>125</v>
      </c>
      <c r="J13" s="53">
        <f>SUM(J8:J12)</f>
        <v>8045</v>
      </c>
      <c r="K13" s="53">
        <f>SUM(K8:K12)</f>
        <v>5425</v>
      </c>
    </row>
    <row r="14" spans="1:11" ht="15.75" thickTop="1" x14ac:dyDescent="0.25">
      <c r="A14" s="5" t="s">
        <v>21</v>
      </c>
      <c r="B14" s="8">
        <v>3</v>
      </c>
      <c r="C14" s="11" t="s">
        <v>22</v>
      </c>
      <c r="D14" s="8">
        <v>430000</v>
      </c>
      <c r="E14" s="9">
        <f>-B14*D14/1000</f>
        <v>-1290</v>
      </c>
      <c r="F14" s="5"/>
      <c r="G14" s="5"/>
      <c r="H14" s="10"/>
      <c r="I14" s="10"/>
      <c r="J14" s="10"/>
      <c r="K14" s="10"/>
    </row>
    <row r="15" spans="1:11" ht="18" x14ac:dyDescent="0.25">
      <c r="A15" s="5" t="s">
        <v>23</v>
      </c>
      <c r="B15" s="8">
        <v>450</v>
      </c>
      <c r="C15" s="12" t="s">
        <v>24</v>
      </c>
      <c r="D15" s="8">
        <v>1500</v>
      </c>
      <c r="E15" s="9">
        <f>-B15*D15/1000</f>
        <v>-675</v>
      </c>
      <c r="F15" s="5"/>
      <c r="G15" s="5"/>
      <c r="H15" s="10"/>
      <c r="I15" s="10"/>
      <c r="J15" s="10"/>
      <c r="K15" s="10"/>
    </row>
    <row r="16" spans="1:11" ht="15" x14ac:dyDescent="0.25">
      <c r="A16" s="5" t="s">
        <v>25</v>
      </c>
      <c r="B16" s="8">
        <v>170000</v>
      </c>
      <c r="C16" s="11" t="s">
        <v>26</v>
      </c>
      <c r="D16" s="8">
        <v>1</v>
      </c>
      <c r="E16" s="9">
        <f>-B16*D16/1000</f>
        <v>-170</v>
      </c>
      <c r="F16" s="5"/>
      <c r="G16" s="5"/>
      <c r="H16" s="10"/>
      <c r="I16" s="10"/>
      <c r="J16" s="10"/>
      <c r="K16" s="10"/>
    </row>
    <row r="17" spans="1:11" ht="15" x14ac:dyDescent="0.25">
      <c r="A17" s="5" t="s">
        <v>27</v>
      </c>
      <c r="B17" s="9"/>
      <c r="C17" s="9"/>
      <c r="D17" s="9"/>
      <c r="E17" s="8">
        <v>-120</v>
      </c>
      <c r="F17" s="5"/>
      <c r="G17" s="5"/>
      <c r="H17" s="10"/>
      <c r="I17" s="10"/>
      <c r="J17" s="10"/>
      <c r="K17" s="10"/>
    </row>
    <row r="18" spans="1:11" ht="15" x14ac:dyDescent="0.25">
      <c r="A18" s="5" t="s">
        <v>28</v>
      </c>
      <c r="B18" s="9"/>
      <c r="C18" s="9"/>
      <c r="D18" s="9"/>
      <c r="E18" s="8">
        <v>-300</v>
      </c>
      <c r="F18" s="5"/>
      <c r="G18" s="58"/>
      <c r="H18" s="59"/>
      <c r="I18" s="59"/>
      <c r="J18" s="59"/>
      <c r="K18" s="59"/>
    </row>
    <row r="19" spans="1:11" ht="15" x14ac:dyDescent="0.25">
      <c r="A19" s="47" t="s">
        <v>29</v>
      </c>
      <c r="B19" s="48"/>
      <c r="C19" s="48"/>
      <c r="D19" s="48"/>
      <c r="E19" s="49">
        <v>-500</v>
      </c>
      <c r="F19" s="5"/>
      <c r="G19" s="58"/>
      <c r="H19" s="60"/>
      <c r="I19" s="60"/>
      <c r="J19" s="60"/>
      <c r="K19" s="60"/>
    </row>
    <row r="20" spans="1:11" ht="15" x14ac:dyDescent="0.25">
      <c r="A20" s="50" t="s">
        <v>86</v>
      </c>
      <c r="B20" s="51"/>
      <c r="C20" s="51"/>
      <c r="D20" s="51"/>
      <c r="E20" s="51">
        <f>SUM(E14:E19)</f>
        <v>-3055</v>
      </c>
      <c r="F20" s="20"/>
      <c r="G20" s="58"/>
      <c r="H20" s="60"/>
      <c r="J20" s="60"/>
      <c r="K20" s="60"/>
    </row>
    <row r="21" spans="1:11" ht="15" x14ac:dyDescent="0.25">
      <c r="A21" s="5"/>
      <c r="B21" s="5"/>
      <c r="C21" s="5"/>
      <c r="D21" s="5"/>
      <c r="E21" s="5"/>
      <c r="F21" s="5"/>
      <c r="G21" s="58"/>
      <c r="H21" s="60"/>
      <c r="I21" s="60"/>
      <c r="J21" s="60"/>
      <c r="K21" s="60"/>
    </row>
    <row r="22" spans="1:11" ht="15" x14ac:dyDescent="0.25">
      <c r="A22" s="7" t="s">
        <v>30</v>
      </c>
      <c r="B22" s="7"/>
      <c r="C22" s="5"/>
      <c r="D22" s="5"/>
      <c r="E22" s="5"/>
      <c r="F22" s="5"/>
      <c r="G22" s="58"/>
      <c r="H22" s="54"/>
      <c r="I22" s="60"/>
      <c r="J22" s="60"/>
      <c r="K22" s="60"/>
    </row>
    <row r="23" spans="1:11" ht="15" x14ac:dyDescent="0.25">
      <c r="A23" s="5" t="s">
        <v>31</v>
      </c>
      <c r="B23" s="8">
        <v>-6000</v>
      </c>
      <c r="C23" s="5"/>
      <c r="D23" s="5"/>
      <c r="E23" s="5"/>
      <c r="F23" s="5"/>
      <c r="G23" s="58"/>
      <c r="H23" s="60"/>
      <c r="I23" s="60"/>
      <c r="J23" s="60"/>
      <c r="K23" s="60"/>
    </row>
    <row r="24" spans="1:11" ht="15" x14ac:dyDescent="0.25">
      <c r="A24" s="5" t="s">
        <v>32</v>
      </c>
      <c r="B24" s="8">
        <v>-1000</v>
      </c>
      <c r="C24" s="5"/>
      <c r="D24" s="5"/>
      <c r="E24" s="5"/>
      <c r="F24" s="5"/>
      <c r="G24" s="58"/>
      <c r="H24" s="60"/>
      <c r="I24" s="60"/>
      <c r="J24" s="60"/>
      <c r="K24" s="60"/>
    </row>
    <row r="25" spans="1:11" ht="15" x14ac:dyDescent="0.25">
      <c r="A25" s="7" t="s">
        <v>29</v>
      </c>
      <c r="B25" s="8">
        <v>-1800</v>
      </c>
      <c r="C25" s="5"/>
      <c r="D25" s="5" t="s">
        <v>2</v>
      </c>
      <c r="G25" s="61"/>
      <c r="H25" s="60"/>
      <c r="I25" s="60"/>
      <c r="J25" s="60"/>
      <c r="K25" s="60"/>
    </row>
    <row r="26" spans="1:11" ht="15" x14ac:dyDescent="0.25">
      <c r="A26" s="7" t="s">
        <v>33</v>
      </c>
      <c r="B26" s="9">
        <f>SUM(B23:B25)</f>
        <v>-8800</v>
      </c>
      <c r="C26" s="5"/>
      <c r="D26" s="13">
        <v>0.15</v>
      </c>
      <c r="E26" s="5"/>
      <c r="F26" s="5"/>
      <c r="G26" s="61"/>
      <c r="H26" s="60"/>
      <c r="I26" s="60"/>
      <c r="J26" s="60"/>
      <c r="K26" s="60"/>
    </row>
    <row r="27" spans="1:11" ht="15" x14ac:dyDescent="0.25">
      <c r="A27" s="5" t="s">
        <v>34</v>
      </c>
      <c r="B27" s="8">
        <v>3200</v>
      </c>
      <c r="C27" s="20"/>
      <c r="D27" s="5"/>
      <c r="E27" s="5"/>
      <c r="F27" s="5"/>
      <c r="G27" s="58"/>
      <c r="H27" s="60"/>
      <c r="I27" s="60"/>
      <c r="J27" s="60"/>
      <c r="K27" s="60"/>
    </row>
    <row r="28" spans="1:11" ht="15" x14ac:dyDescent="0.25">
      <c r="A28" s="5"/>
      <c r="B28" s="4"/>
      <c r="C28" s="5"/>
      <c r="D28" s="5"/>
      <c r="E28" s="5"/>
      <c r="F28" s="5"/>
      <c r="G28" s="5"/>
      <c r="H28" s="10"/>
      <c r="I28" s="10"/>
      <c r="J28" s="10"/>
      <c r="K28" s="10"/>
    </row>
    <row r="29" spans="1:11" ht="15" x14ac:dyDescent="0.25">
      <c r="A29" s="5"/>
      <c r="B29" s="81" t="s">
        <v>3</v>
      </c>
      <c r="C29" s="81"/>
      <c r="D29" s="81"/>
      <c r="E29" s="81"/>
      <c r="F29" s="5"/>
      <c r="G29" s="5"/>
      <c r="H29" s="10"/>
      <c r="I29" s="10"/>
      <c r="J29" s="10"/>
      <c r="K29" s="10"/>
    </row>
    <row r="30" spans="1:11" ht="15" x14ac:dyDescent="0.25">
      <c r="A30" s="18" t="s">
        <v>35</v>
      </c>
      <c r="B30" s="24">
        <f>B9-1</f>
        <v>2015</v>
      </c>
      <c r="C30" s="24">
        <f>B30+1</f>
        <v>2016</v>
      </c>
      <c r="D30" s="24">
        <f>C30+1</f>
        <v>2017</v>
      </c>
      <c r="E30" s="24">
        <f>D30+1</f>
        <v>2018</v>
      </c>
      <c r="F30" s="5"/>
      <c r="G30" s="5"/>
      <c r="H30" s="10"/>
      <c r="I30" s="10"/>
      <c r="J30" s="10"/>
      <c r="K30" s="10"/>
    </row>
    <row r="31" spans="1:11" ht="15" x14ac:dyDescent="0.25">
      <c r="A31" s="5" t="s">
        <v>1</v>
      </c>
      <c r="B31" s="9"/>
      <c r="C31" s="9">
        <f>$B$3*B10/1000</f>
        <v>12000</v>
      </c>
      <c r="D31" s="9">
        <f>B3*C10/1000</f>
        <v>22800</v>
      </c>
      <c r="E31" s="9">
        <f>B3*D10/1000</f>
        <v>9600</v>
      </c>
      <c r="F31" s="5"/>
      <c r="G31" s="5"/>
      <c r="H31" s="10"/>
      <c r="I31" s="10"/>
      <c r="J31" s="10"/>
      <c r="K31" s="10"/>
    </row>
    <row r="32" spans="1:11" ht="15" x14ac:dyDescent="0.25">
      <c r="A32" s="5" t="s">
        <v>36</v>
      </c>
      <c r="B32" s="9">
        <f>C31*$D$26</f>
        <v>1800</v>
      </c>
      <c r="C32" s="9">
        <f>D31*$D$26</f>
        <v>3420</v>
      </c>
      <c r="D32" s="9">
        <f>E31*$D$26</f>
        <v>1440</v>
      </c>
      <c r="E32" s="9">
        <f>F31*$D$26</f>
        <v>0</v>
      </c>
      <c r="F32" s="5"/>
      <c r="G32" s="5"/>
      <c r="H32" s="10"/>
      <c r="I32" s="10"/>
      <c r="J32" s="10"/>
      <c r="K32" s="10"/>
    </row>
    <row r="33" spans="1:11" ht="15.75" thickBot="1" x14ac:dyDescent="0.3">
      <c r="A33" s="52" t="s">
        <v>37</v>
      </c>
      <c r="B33" s="16">
        <f>(B31-C31)*$D$26</f>
        <v>-1800</v>
      </c>
      <c r="C33" s="16">
        <f>(C31-D31)*$D$26</f>
        <v>-1620</v>
      </c>
      <c r="D33" s="16">
        <f>(D31-E31)*$D$26</f>
        <v>1980</v>
      </c>
      <c r="E33" s="16">
        <f>(E31-F31)*$D$26</f>
        <v>1440</v>
      </c>
      <c r="F33" s="5"/>
      <c r="G33" s="5"/>
      <c r="H33" s="10"/>
      <c r="I33" s="10"/>
      <c r="J33" s="10"/>
      <c r="K33" s="10"/>
    </row>
    <row r="34" spans="1:11" ht="13.5" thickTop="1" x14ac:dyDescent="0.2"/>
    <row r="52" spans="7:11" x14ac:dyDescent="0.2">
      <c r="H52" s="62"/>
    </row>
    <row r="54" spans="7:11" x14ac:dyDescent="0.2">
      <c r="H54" s="63"/>
      <c r="I54" s="63"/>
      <c r="J54" s="63"/>
      <c r="K54" s="63"/>
    </row>
    <row r="55" spans="7:11" x14ac:dyDescent="0.2">
      <c r="H55" s="63"/>
      <c r="I55" s="63"/>
      <c r="J55" s="63"/>
      <c r="K55" s="63"/>
    </row>
    <row r="56" spans="7:11" x14ac:dyDescent="0.2">
      <c r="G56" s="64"/>
      <c r="H56" s="63"/>
      <c r="I56" s="63"/>
      <c r="J56" s="63"/>
      <c r="K56" s="63"/>
    </row>
    <row r="57" spans="7:11" x14ac:dyDescent="0.2">
      <c r="G57" s="64"/>
      <c r="H57" s="63"/>
      <c r="I57" s="63"/>
      <c r="J57" s="63"/>
      <c r="K57" s="63"/>
    </row>
    <row r="58" spans="7:11" x14ac:dyDescent="0.2">
      <c r="H58" s="63"/>
      <c r="I58" s="63"/>
      <c r="J58" s="63"/>
      <c r="K58" s="63"/>
    </row>
    <row r="60" spans="7:11" x14ac:dyDescent="0.2">
      <c r="J60" s="65"/>
    </row>
    <row r="62" spans="7:11" x14ac:dyDescent="0.2">
      <c r="H62" s="63"/>
      <c r="I62" s="63"/>
      <c r="J62" s="63"/>
      <c r="K62" s="63"/>
    </row>
    <row r="63" spans="7:11" x14ac:dyDescent="0.2">
      <c r="H63" s="63"/>
      <c r="I63" s="63"/>
      <c r="J63" s="63"/>
      <c r="K63" s="63"/>
    </row>
    <row r="64" spans="7:11" x14ac:dyDescent="0.2">
      <c r="H64" s="63"/>
      <c r="I64" s="63"/>
      <c r="J64" s="63"/>
      <c r="K64" s="63"/>
    </row>
    <row r="65" spans="7:11" x14ac:dyDescent="0.2">
      <c r="H65" s="63"/>
      <c r="I65" s="63"/>
      <c r="J65" s="63"/>
      <c r="K65" s="63"/>
    </row>
    <row r="66" spans="7:11" x14ac:dyDescent="0.2">
      <c r="H66" s="63"/>
      <c r="I66" s="63"/>
      <c r="J66" s="63"/>
      <c r="K66" s="63"/>
    </row>
    <row r="67" spans="7:11" x14ac:dyDescent="0.2">
      <c r="H67" s="63"/>
      <c r="I67" s="63"/>
      <c r="J67" s="63"/>
      <c r="K67" s="63"/>
    </row>
    <row r="68" spans="7:11" x14ac:dyDescent="0.2">
      <c r="G68" s="64"/>
      <c r="H68" s="63"/>
      <c r="I68" s="63"/>
      <c r="J68" s="63"/>
      <c r="K68" s="63"/>
    </row>
    <row r="69" spans="7:11" x14ac:dyDescent="0.2">
      <c r="G69" s="64"/>
      <c r="H69" s="63"/>
      <c r="I69" s="63"/>
      <c r="J69" s="63"/>
      <c r="K69" s="63"/>
    </row>
    <row r="70" spans="7:11" x14ac:dyDescent="0.2">
      <c r="H70" s="63"/>
      <c r="I70" s="63"/>
      <c r="J70" s="63"/>
      <c r="K70" s="63"/>
    </row>
    <row r="72" spans="7:11" x14ac:dyDescent="0.2">
      <c r="H72" s="62"/>
    </row>
    <row r="75" spans="7:11" x14ac:dyDescent="0.2">
      <c r="G75" s="66"/>
    </row>
    <row r="76" spans="7:11" x14ac:dyDescent="0.2">
      <c r="G76" s="64"/>
    </row>
    <row r="77" spans="7:11" x14ac:dyDescent="0.2">
      <c r="G77" s="64"/>
    </row>
  </sheetData>
  <mergeCells count="2">
    <mergeCell ref="H3:K3"/>
    <mergeCell ref="B29:E29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zoomScale="140" zoomScaleNormal="140" workbookViewId="0">
      <selection activeCell="G23" sqref="G23:G24"/>
    </sheetView>
  </sheetViews>
  <sheetFormatPr baseColWidth="10" defaultColWidth="11.42578125" defaultRowHeight="12.75" x14ac:dyDescent="0.2"/>
  <cols>
    <col min="1" max="1" width="30.140625" style="55" customWidth="1"/>
    <col min="2" max="3" width="11.42578125" style="55" customWidth="1"/>
    <col min="4" max="4" width="9.42578125" style="55" customWidth="1"/>
    <col min="5" max="5" width="11.42578125" style="55" customWidth="1"/>
    <col min="6" max="6" width="11.28515625" style="55" customWidth="1"/>
    <col min="7" max="7" width="26.42578125" style="55" customWidth="1"/>
    <col min="8" max="8" width="10.42578125" style="56" customWidth="1"/>
    <col min="9" max="9" width="13.28515625" style="56" bestFit="1" customWidth="1"/>
    <col min="10" max="10" width="10.7109375" style="56" bestFit="1" customWidth="1"/>
    <col min="11" max="11" width="10.28515625" style="56" bestFit="1" customWidth="1"/>
    <col min="12" max="16384" width="11.42578125" style="55"/>
  </cols>
  <sheetData>
    <row r="1" spans="1:11" ht="21" customHeight="1" x14ac:dyDescent="0.25">
      <c r="A1" s="4" t="s">
        <v>0</v>
      </c>
      <c r="B1" s="32"/>
      <c r="C1" s="5"/>
      <c r="D1" s="5"/>
      <c r="E1" s="5"/>
      <c r="F1" s="5"/>
    </row>
    <row r="2" spans="1:11" ht="15" x14ac:dyDescent="0.25">
      <c r="A2" s="7" t="s">
        <v>4</v>
      </c>
      <c r="B2" s="5"/>
      <c r="C2" s="5" t="s">
        <v>5</v>
      </c>
      <c r="D2" s="5"/>
      <c r="E2" s="5"/>
      <c r="F2" s="5"/>
      <c r="I2" s="56" t="s">
        <v>53</v>
      </c>
    </row>
    <row r="3" spans="1:11" ht="15" x14ac:dyDescent="0.25">
      <c r="A3" s="5" t="s">
        <v>6</v>
      </c>
      <c r="B3" s="8">
        <v>12000</v>
      </c>
      <c r="C3" s="14">
        <v>0.02</v>
      </c>
      <c r="D3" s="5"/>
      <c r="E3" s="5"/>
      <c r="F3" s="5"/>
      <c r="G3" s="5"/>
      <c r="H3" s="80" t="s">
        <v>3</v>
      </c>
      <c r="I3" s="80"/>
      <c r="J3" s="80"/>
      <c r="K3" s="80"/>
    </row>
    <row r="4" spans="1:11" ht="15" x14ac:dyDescent="0.25">
      <c r="A4" s="7" t="s">
        <v>7</v>
      </c>
      <c r="B4" s="8">
        <v>-5500</v>
      </c>
      <c r="C4" s="26"/>
      <c r="D4" s="5"/>
      <c r="E4" s="5"/>
      <c r="F4" s="5"/>
      <c r="G4" s="18"/>
      <c r="H4" s="17">
        <f>B30</f>
        <v>2015</v>
      </c>
      <c r="I4" s="17">
        <f>C30</f>
        <v>2016</v>
      </c>
      <c r="J4" s="17">
        <f>D30</f>
        <v>2017</v>
      </c>
      <c r="K4" s="17">
        <f>E30</f>
        <v>2018</v>
      </c>
    </row>
    <row r="5" spans="1:11" ht="15" x14ac:dyDescent="0.25">
      <c r="A5" s="5" t="s">
        <v>9</v>
      </c>
      <c r="B5" s="8">
        <v>-1700</v>
      </c>
      <c r="C5" s="26"/>
      <c r="D5" s="5"/>
      <c r="E5" s="5"/>
      <c r="F5" s="5"/>
      <c r="G5" s="5" t="s">
        <v>1</v>
      </c>
      <c r="H5" s="11"/>
      <c r="I5" s="11">
        <f>$B3*B$10/1000</f>
        <v>12000</v>
      </c>
      <c r="J5" s="11">
        <f>$B3*C$10*(1+C3)/1000</f>
        <v>23256</v>
      </c>
      <c r="K5" s="11">
        <f>$B3*D$10*(1+C3)^2/1000</f>
        <v>9987.84</v>
      </c>
    </row>
    <row r="6" spans="1:11" ht="15" x14ac:dyDescent="0.25">
      <c r="A6" s="7" t="s">
        <v>10</v>
      </c>
      <c r="B6" s="9">
        <f>'Tabell 2.4'!B6</f>
        <v>4800</v>
      </c>
      <c r="C6" s="9"/>
      <c r="D6" s="5"/>
      <c r="E6" s="5"/>
      <c r="F6" s="5"/>
      <c r="G6" s="5" t="s">
        <v>8</v>
      </c>
      <c r="H6" s="11"/>
      <c r="I6" s="11">
        <f>$B4*B$10/1000</f>
        <v>-5500</v>
      </c>
      <c r="J6" s="11">
        <f>B4*C10*(1+C3)/1000</f>
        <v>-10659</v>
      </c>
      <c r="K6" s="11">
        <f>B4*D10*(1+C3)^2/1000</f>
        <v>-4577.76</v>
      </c>
    </row>
    <row r="7" spans="1:11" ht="15" x14ac:dyDescent="0.25">
      <c r="A7" s="5"/>
      <c r="B7" s="5"/>
      <c r="C7" s="5"/>
      <c r="D7" s="5"/>
      <c r="E7" s="5"/>
      <c r="F7" s="4"/>
      <c r="G7" s="5" t="s">
        <v>9</v>
      </c>
      <c r="H7" s="11"/>
      <c r="I7" s="11">
        <f>$B5*B$10/1000</f>
        <v>-1700</v>
      </c>
      <c r="J7" s="11">
        <f>B5*C10*(1+C3)/1000</f>
        <v>-3294.6</v>
      </c>
      <c r="K7" s="11">
        <f>$B5*D$10*(1+C3)^2/1000</f>
        <v>-1414.944</v>
      </c>
    </row>
    <row r="8" spans="1:11" ht="15" x14ac:dyDescent="0.25">
      <c r="A8" s="7" t="s">
        <v>13</v>
      </c>
      <c r="B8" s="5"/>
      <c r="C8" s="6" t="s">
        <v>3</v>
      </c>
      <c r="D8" s="5"/>
      <c r="E8" s="5"/>
      <c r="F8" s="5"/>
      <c r="G8" s="5" t="s">
        <v>11</v>
      </c>
      <c r="H8" s="11"/>
      <c r="I8" s="11">
        <f>SUM(I5:I7)</f>
        <v>4800</v>
      </c>
      <c r="J8" s="11">
        <f>SUM(J5:J7)</f>
        <v>9302.4</v>
      </c>
      <c r="K8" s="11">
        <f>SUM(K5:K7)</f>
        <v>3995.136</v>
      </c>
    </row>
    <row r="9" spans="1:11" ht="15" x14ac:dyDescent="0.25">
      <c r="A9" s="47"/>
      <c r="B9" s="70">
        <v>2016</v>
      </c>
      <c r="C9" s="47">
        <f>B9+1</f>
        <v>2017</v>
      </c>
      <c r="D9" s="47">
        <f>C9+1</f>
        <v>2018</v>
      </c>
      <c r="E9" s="5"/>
      <c r="F9" s="5"/>
      <c r="G9" s="5" t="s">
        <v>87</v>
      </c>
      <c r="H9" s="11"/>
      <c r="I9" s="11">
        <f>$E$20</f>
        <v>-3055</v>
      </c>
      <c r="J9" s="11">
        <f>$E$20*(1+C3)</f>
        <v>-3116.1</v>
      </c>
      <c r="K9" s="11">
        <f>$E$20*(1+C3)^2</f>
        <v>-3178.422</v>
      </c>
    </row>
    <row r="10" spans="1:11" ht="15" x14ac:dyDescent="0.25">
      <c r="A10" s="50" t="s">
        <v>16</v>
      </c>
      <c r="B10" s="71">
        <v>1000</v>
      </c>
      <c r="C10" s="71">
        <v>1900</v>
      </c>
      <c r="D10" s="71">
        <v>800</v>
      </c>
      <c r="E10" s="5"/>
      <c r="F10" s="5"/>
      <c r="G10" s="5" t="s">
        <v>14</v>
      </c>
      <c r="H10" s="11"/>
      <c r="I10" s="11"/>
      <c r="J10" s="11"/>
      <c r="K10" s="11"/>
    </row>
    <row r="11" spans="1:11" ht="15" x14ac:dyDescent="0.25">
      <c r="A11" s="5"/>
      <c r="B11" s="5"/>
      <c r="C11" s="5"/>
      <c r="D11" s="5"/>
      <c r="E11" s="5"/>
      <c r="F11" s="5"/>
      <c r="G11" s="7" t="s">
        <v>15</v>
      </c>
      <c r="H11" s="11">
        <f>B33</f>
        <v>-1800</v>
      </c>
      <c r="I11" s="11">
        <f>C33</f>
        <v>-1688.3999999999999</v>
      </c>
      <c r="J11" s="11">
        <f>D33</f>
        <v>1990.2239999999999</v>
      </c>
      <c r="K11" s="11">
        <f>E33</f>
        <v>1498.1759999999999</v>
      </c>
    </row>
    <row r="12" spans="1:11" ht="15" x14ac:dyDescent="0.25">
      <c r="A12" s="7" t="s">
        <v>84</v>
      </c>
      <c r="B12" s="5"/>
      <c r="C12" s="5"/>
      <c r="D12" s="5"/>
      <c r="E12" s="5"/>
      <c r="F12" s="5"/>
      <c r="G12" s="69" t="s">
        <v>17</v>
      </c>
      <c r="H12" s="17">
        <f>B26</f>
        <v>-8800</v>
      </c>
      <c r="I12" s="17"/>
      <c r="J12" s="17"/>
      <c r="K12" s="17">
        <f>B27*(1+C3)^2</f>
        <v>3329.2799999999997</v>
      </c>
    </row>
    <row r="13" spans="1:11" ht="15.75" thickBot="1" x14ac:dyDescent="0.3">
      <c r="A13" s="57"/>
      <c r="B13" s="29" t="s">
        <v>19</v>
      </c>
      <c r="C13" s="29" t="s">
        <v>20</v>
      </c>
      <c r="D13" s="29" t="s">
        <v>74</v>
      </c>
      <c r="E13" s="30" t="s">
        <v>75</v>
      </c>
      <c r="F13" s="5"/>
      <c r="G13" s="16" t="s">
        <v>68</v>
      </c>
      <c r="H13" s="53">
        <f>SUM(H8:H12)</f>
        <v>-10600</v>
      </c>
      <c r="I13" s="53">
        <f>SUM(I8:I12)</f>
        <v>56.600000000000136</v>
      </c>
      <c r="J13" s="53">
        <f>SUM(J8:J12)</f>
        <v>8176.5239999999994</v>
      </c>
      <c r="K13" s="53">
        <f>SUM(K8:K12)</f>
        <v>5644.17</v>
      </c>
    </row>
    <row r="14" spans="1:11" ht="15.75" thickTop="1" x14ac:dyDescent="0.25">
      <c r="A14" s="5" t="s">
        <v>21</v>
      </c>
      <c r="B14" s="8">
        <v>3</v>
      </c>
      <c r="C14" s="9" t="str">
        <f>'Tabell 2.4'!C14</f>
        <v>årsverk</v>
      </c>
      <c r="D14" s="9">
        <f>'Tabell 2.4'!D14</f>
        <v>430000</v>
      </c>
      <c r="E14" s="9">
        <f>'Tabell 2.4'!E14</f>
        <v>-1290</v>
      </c>
      <c r="F14" s="5"/>
      <c r="G14" s="5"/>
      <c r="H14" s="10"/>
      <c r="I14" s="10"/>
      <c r="J14" s="10"/>
      <c r="K14" s="10"/>
    </row>
    <row r="15" spans="1:11" ht="15" x14ac:dyDescent="0.25">
      <c r="A15" s="5" t="s">
        <v>23</v>
      </c>
      <c r="B15" s="8">
        <v>450</v>
      </c>
      <c r="C15" s="9" t="str">
        <f>'Tabell 2.4'!C15</f>
        <v>m2</v>
      </c>
      <c r="D15" s="9">
        <f>'Tabell 2.4'!D15</f>
        <v>1500</v>
      </c>
      <c r="E15" s="9">
        <f>'Tabell 2.4'!E15</f>
        <v>-675</v>
      </c>
      <c r="F15" s="5"/>
      <c r="G15" s="5"/>
      <c r="H15" s="10"/>
      <c r="I15" s="10"/>
      <c r="J15" s="10"/>
      <c r="K15" s="10"/>
    </row>
    <row r="16" spans="1:11" ht="15" x14ac:dyDescent="0.25">
      <c r="A16" s="5" t="s">
        <v>25</v>
      </c>
      <c r="B16" s="8">
        <v>170000</v>
      </c>
      <c r="C16" s="9" t="str">
        <f>'Tabell 2.4'!C16</f>
        <v>kWh</v>
      </c>
      <c r="D16" s="9">
        <f>'Tabell 2.4'!D16</f>
        <v>1</v>
      </c>
      <c r="E16" s="9">
        <f>'Tabell 2.4'!E16</f>
        <v>-170</v>
      </c>
      <c r="F16" s="5"/>
      <c r="G16" s="5"/>
      <c r="H16" s="10"/>
      <c r="I16" s="10"/>
      <c r="J16" s="10"/>
      <c r="K16" s="10"/>
    </row>
    <row r="17" spans="1:11" ht="15" x14ac:dyDescent="0.25">
      <c r="A17" s="5" t="s">
        <v>27</v>
      </c>
      <c r="B17" s="9"/>
      <c r="C17" s="9"/>
      <c r="D17" s="9"/>
      <c r="E17" s="8">
        <v>-120</v>
      </c>
      <c r="F17" s="5"/>
      <c r="G17" s="5"/>
      <c r="H17" s="10"/>
      <c r="I17" s="10"/>
      <c r="J17" s="10"/>
      <c r="K17" s="10"/>
    </row>
    <row r="18" spans="1:11" ht="15" x14ac:dyDescent="0.25">
      <c r="A18" s="5" t="s">
        <v>28</v>
      </c>
      <c r="B18" s="9"/>
      <c r="C18" s="9"/>
      <c r="D18" s="9"/>
      <c r="E18" s="8">
        <v>-300</v>
      </c>
      <c r="F18" s="5"/>
      <c r="G18" s="58"/>
      <c r="H18" s="59"/>
      <c r="I18" s="59"/>
      <c r="J18" s="59"/>
      <c r="K18" s="59"/>
    </row>
    <row r="19" spans="1:11" ht="15" x14ac:dyDescent="0.25">
      <c r="A19" s="47" t="s">
        <v>29</v>
      </c>
      <c r="B19" s="48"/>
      <c r="C19" s="48"/>
      <c r="D19" s="48"/>
      <c r="E19" s="49">
        <v>-500</v>
      </c>
      <c r="F19" s="5"/>
      <c r="G19" s="58"/>
      <c r="H19" s="60"/>
      <c r="I19" s="60"/>
      <c r="J19" s="60"/>
      <c r="K19" s="60"/>
    </row>
    <row r="20" spans="1:11" ht="15" x14ac:dyDescent="0.25">
      <c r="A20" s="50" t="s">
        <v>86</v>
      </c>
      <c r="B20" s="51"/>
      <c r="C20" s="51"/>
      <c r="D20" s="51"/>
      <c r="E20" s="51">
        <f>SUM(E14:E19)</f>
        <v>-3055</v>
      </c>
      <c r="F20" s="20"/>
      <c r="G20" s="58"/>
      <c r="H20" s="60"/>
      <c r="J20" s="60"/>
      <c r="K20" s="60"/>
    </row>
    <row r="21" spans="1:11" ht="15" x14ac:dyDescent="0.25">
      <c r="A21" s="5"/>
      <c r="B21" s="5"/>
      <c r="C21" s="5"/>
      <c r="D21" s="5"/>
      <c r="E21" s="5"/>
      <c r="F21" s="5"/>
      <c r="G21" s="68"/>
      <c r="H21" s="60"/>
      <c r="I21" s="60"/>
      <c r="J21" s="60"/>
      <c r="K21" s="60"/>
    </row>
    <row r="22" spans="1:11" ht="15" x14ac:dyDescent="0.25">
      <c r="A22" s="7" t="s">
        <v>30</v>
      </c>
      <c r="B22" s="7"/>
      <c r="C22" s="5"/>
      <c r="D22" s="5"/>
      <c r="E22" s="5"/>
      <c r="F22" s="5"/>
      <c r="G22" s="58"/>
      <c r="H22" s="54"/>
      <c r="I22" s="60"/>
      <c r="J22" s="60"/>
      <c r="K22" s="60"/>
    </row>
    <row r="23" spans="1:11" ht="15" x14ac:dyDescent="0.25">
      <c r="A23" s="5" t="s">
        <v>31</v>
      </c>
      <c r="B23" s="8">
        <v>-6000</v>
      </c>
      <c r="C23" s="5"/>
      <c r="D23" s="5"/>
      <c r="E23" s="5"/>
      <c r="F23" s="5"/>
      <c r="G23" s="58"/>
      <c r="H23" s="60"/>
      <c r="I23" s="60"/>
      <c r="J23" s="60"/>
      <c r="K23" s="60"/>
    </row>
    <row r="24" spans="1:11" ht="15" x14ac:dyDescent="0.25">
      <c r="A24" s="5" t="s">
        <v>32</v>
      </c>
      <c r="B24" s="8">
        <v>-1000</v>
      </c>
      <c r="C24" s="5"/>
      <c r="D24" s="5"/>
      <c r="E24" s="5"/>
      <c r="F24" s="5"/>
      <c r="G24" s="58"/>
      <c r="H24" s="60"/>
      <c r="I24" s="60"/>
      <c r="J24" s="60"/>
      <c r="K24" s="60"/>
    </row>
    <row r="25" spans="1:11" ht="15" x14ac:dyDescent="0.25">
      <c r="A25" s="7" t="s">
        <v>29</v>
      </c>
      <c r="B25" s="8">
        <v>-1800</v>
      </c>
      <c r="C25" s="5"/>
      <c r="D25" s="5" t="s">
        <v>2</v>
      </c>
      <c r="G25" s="61"/>
      <c r="H25" s="60"/>
      <c r="I25" s="60"/>
      <c r="J25" s="60"/>
      <c r="K25" s="60"/>
    </row>
    <row r="26" spans="1:11" ht="15" x14ac:dyDescent="0.25">
      <c r="A26" s="7" t="s">
        <v>33</v>
      </c>
      <c r="B26" s="9">
        <f>SUM(B23:B25)</f>
        <v>-8800</v>
      </c>
      <c r="C26" s="5"/>
      <c r="D26" s="13">
        <v>0.15</v>
      </c>
      <c r="E26" s="5"/>
      <c r="F26" s="5"/>
      <c r="G26" s="61"/>
      <c r="H26" s="60"/>
      <c r="I26" s="60"/>
      <c r="J26" s="60"/>
      <c r="K26" s="60"/>
    </row>
    <row r="27" spans="1:11" ht="15" x14ac:dyDescent="0.25">
      <c r="A27" s="5" t="s">
        <v>34</v>
      </c>
      <c r="B27" s="8">
        <v>3200</v>
      </c>
      <c r="C27" s="20"/>
      <c r="D27" s="5"/>
      <c r="E27" s="5"/>
      <c r="F27" s="5"/>
      <c r="G27" s="58"/>
      <c r="H27" s="60"/>
      <c r="I27" s="60"/>
      <c r="J27" s="60"/>
      <c r="K27" s="60"/>
    </row>
    <row r="28" spans="1:11" ht="15" x14ac:dyDescent="0.25">
      <c r="A28" s="5"/>
      <c r="B28" s="4"/>
      <c r="C28" s="5"/>
      <c r="D28" s="5"/>
      <c r="E28" s="5"/>
      <c r="F28" s="5"/>
      <c r="G28" s="5"/>
      <c r="H28" s="10"/>
      <c r="I28" s="10"/>
      <c r="J28" s="10"/>
      <c r="K28" s="10"/>
    </row>
    <row r="29" spans="1:11" ht="15" x14ac:dyDescent="0.25">
      <c r="A29" s="72" t="s">
        <v>35</v>
      </c>
      <c r="B29" s="81" t="s">
        <v>3</v>
      </c>
      <c r="C29" s="81"/>
      <c r="D29" s="81"/>
      <c r="E29" s="81"/>
      <c r="F29" s="5"/>
      <c r="G29" s="5"/>
      <c r="H29" s="10"/>
      <c r="I29" s="10"/>
      <c r="J29" s="10"/>
      <c r="K29" s="10"/>
    </row>
    <row r="30" spans="1:11" ht="15" x14ac:dyDescent="0.25">
      <c r="A30" s="57"/>
      <c r="B30" s="24">
        <f>B9-1</f>
        <v>2015</v>
      </c>
      <c r="C30" s="24">
        <f>B30+1</f>
        <v>2016</v>
      </c>
      <c r="D30" s="24">
        <f>C30+1</f>
        <v>2017</v>
      </c>
      <c r="E30" s="24">
        <f>D30+1</f>
        <v>2018</v>
      </c>
      <c r="F30" s="5"/>
      <c r="G30" s="5"/>
      <c r="H30" s="10"/>
      <c r="I30" s="10"/>
      <c r="J30" s="10"/>
      <c r="K30" s="10"/>
    </row>
    <row r="31" spans="1:11" ht="15" x14ac:dyDescent="0.25">
      <c r="A31" s="5" t="s">
        <v>1</v>
      </c>
      <c r="B31" s="9"/>
      <c r="C31" s="9">
        <f>$B$3*B10/1000</f>
        <v>12000</v>
      </c>
      <c r="D31" s="9">
        <f>B3*(1+C3)*C10/1000</f>
        <v>23256</v>
      </c>
      <c r="E31" s="9">
        <f>B3*(1+C3)^2*D10/1000</f>
        <v>9987.84</v>
      </c>
      <c r="F31" s="5"/>
      <c r="G31" s="5"/>
      <c r="H31" s="10"/>
      <c r="I31" s="10"/>
      <c r="J31" s="10"/>
      <c r="K31" s="10"/>
    </row>
    <row r="32" spans="1:11" ht="15" x14ac:dyDescent="0.25">
      <c r="A32" s="5" t="s">
        <v>36</v>
      </c>
      <c r="B32" s="9">
        <f>C31*$D$26</f>
        <v>1800</v>
      </c>
      <c r="C32" s="9">
        <f>D31*$D$26</f>
        <v>3488.4</v>
      </c>
      <c r="D32" s="9">
        <f>E31*$D$26</f>
        <v>1498.1759999999999</v>
      </c>
      <c r="E32" s="9">
        <f>F31*$D$26</f>
        <v>0</v>
      </c>
      <c r="F32" s="5"/>
      <c r="G32" s="5"/>
      <c r="H32" s="10"/>
      <c r="I32" s="10"/>
      <c r="J32" s="10"/>
      <c r="K32" s="10"/>
    </row>
    <row r="33" spans="1:11" ht="15.75" thickBot="1" x14ac:dyDescent="0.3">
      <c r="A33" s="52" t="s">
        <v>37</v>
      </c>
      <c r="B33" s="16">
        <f>(B31-C31)*$D$26</f>
        <v>-1800</v>
      </c>
      <c r="C33" s="16">
        <f>(C31-D31)*$D$26</f>
        <v>-1688.3999999999999</v>
      </c>
      <c r="D33" s="16">
        <f>(D31-E31)*$D$26</f>
        <v>1990.2239999999999</v>
      </c>
      <c r="E33" s="16">
        <f>(E31-F31)*$D$26</f>
        <v>1498.1759999999999</v>
      </c>
      <c r="F33" s="5"/>
      <c r="G33" s="5"/>
      <c r="H33" s="10"/>
      <c r="I33" s="10"/>
      <c r="J33" s="10"/>
      <c r="K33" s="10"/>
    </row>
    <row r="34" spans="1:11" ht="13.5" thickTop="1" x14ac:dyDescent="0.2"/>
    <row r="52" spans="7:11" x14ac:dyDescent="0.2">
      <c r="H52" s="62"/>
      <c r="J52" s="56" t="str">
        <f>H3</f>
        <v>År</v>
      </c>
    </row>
    <row r="53" spans="7:11" x14ac:dyDescent="0.2">
      <c r="H53" s="56">
        <f>H4</f>
        <v>2015</v>
      </c>
      <c r="I53" s="56">
        <f>I4</f>
        <v>2016</v>
      </c>
      <c r="J53" s="56">
        <f>J4</f>
        <v>2017</v>
      </c>
      <c r="K53" s="56">
        <f>K4</f>
        <v>2018</v>
      </c>
    </row>
    <row r="54" spans="7:11" x14ac:dyDescent="0.2">
      <c r="G54" s="55" t="str">
        <f>G8</f>
        <v>Dekningsbidrag</v>
      </c>
      <c r="H54" s="63"/>
      <c r="I54" s="63">
        <f t="shared" ref="I54:K55" si="0">I8</f>
        <v>4800</v>
      </c>
      <c r="J54" s="63">
        <f t="shared" si="0"/>
        <v>9302.4</v>
      </c>
      <c r="K54" s="63">
        <f t="shared" si="0"/>
        <v>3995.136</v>
      </c>
    </row>
    <row r="55" spans="7:11" x14ac:dyDescent="0.2">
      <c r="G55" s="55" t="str">
        <f>G9</f>
        <v>Faste kostnader</v>
      </c>
      <c r="H55" s="63"/>
      <c r="I55" s="63">
        <f t="shared" si="0"/>
        <v>-3055</v>
      </c>
      <c r="J55" s="63">
        <f t="shared" si="0"/>
        <v>-3116.1</v>
      </c>
      <c r="K55" s="63">
        <f t="shared" si="0"/>
        <v>-3178.422</v>
      </c>
    </row>
    <row r="56" spans="7:11" x14ac:dyDescent="0.2">
      <c r="G56" s="64" t="str">
        <f>G11</f>
        <v xml:space="preserve">     Arbeidskapital</v>
      </c>
      <c r="H56" s="63">
        <f>H11</f>
        <v>-1800</v>
      </c>
      <c r="I56" s="63">
        <f>I11</f>
        <v>-1688.3999999999999</v>
      </c>
      <c r="J56" s="63">
        <f>J11</f>
        <v>1990.2239999999999</v>
      </c>
      <c r="K56" s="63">
        <f>K11</f>
        <v>1498.1759999999999</v>
      </c>
    </row>
    <row r="57" spans="7:11" x14ac:dyDescent="0.2">
      <c r="G57" s="64" t="str">
        <f>G12</f>
        <v xml:space="preserve">     Anleggskapital/restverdi</v>
      </c>
      <c r="H57" s="63">
        <f>H12</f>
        <v>-8800</v>
      </c>
      <c r="I57" s="63"/>
      <c r="J57" s="63"/>
      <c r="K57" s="63">
        <f>K12</f>
        <v>3329.2799999999997</v>
      </c>
    </row>
    <row r="58" spans="7:11" x14ac:dyDescent="0.2">
      <c r="G58" s="55" t="str">
        <f>G13</f>
        <v>Prosjektets kontantstrøm</v>
      </c>
      <c r="H58" s="63">
        <f>H13</f>
        <v>-10600</v>
      </c>
      <c r="I58" s="63">
        <f>I13</f>
        <v>56.600000000000136</v>
      </c>
      <c r="J58" s="63">
        <f>J13</f>
        <v>8176.5239999999994</v>
      </c>
      <c r="K58" s="63">
        <f>K13</f>
        <v>5644.17</v>
      </c>
    </row>
    <row r="60" spans="7:11" x14ac:dyDescent="0.2">
      <c r="J60" s="65" t="s">
        <v>3</v>
      </c>
    </row>
    <row r="61" spans="7:11" x14ac:dyDescent="0.2">
      <c r="H61" s="56">
        <f>H4</f>
        <v>2015</v>
      </c>
      <c r="I61" s="56">
        <f>I4</f>
        <v>2016</v>
      </c>
      <c r="J61" s="56">
        <f>J4</f>
        <v>2017</v>
      </c>
      <c r="K61" s="56">
        <f>K4</f>
        <v>2018</v>
      </c>
    </row>
    <row r="62" spans="7:11" x14ac:dyDescent="0.2">
      <c r="G62" s="55" t="s">
        <v>1</v>
      </c>
      <c r="H62" s="63"/>
      <c r="I62" s="63">
        <f>$B$3*(1+$C$3)^(I4-2011)*B10/1000</f>
        <v>13248.9696384</v>
      </c>
      <c r="J62" s="63">
        <f>$B$3*(1+$C$3)^(J4-2011)*C10/1000</f>
        <v>25676.503159219203</v>
      </c>
      <c r="K62" s="63">
        <f>$B$3*(1+$C$3)^(K4-2011)*D10/1000</f>
        <v>11027.382409433085</v>
      </c>
    </row>
    <row r="63" spans="7:11" x14ac:dyDescent="0.2">
      <c r="G63" s="55" t="s">
        <v>8</v>
      </c>
      <c r="H63" s="63"/>
      <c r="I63" s="63">
        <f>$B$4*(1+$C$4)^(I4-2011)*B10/1000</f>
        <v>-5500</v>
      </c>
      <c r="J63" s="63">
        <f>$B$4*(1+$C$4)^(J4-2011)*C10/1000</f>
        <v>-10450</v>
      </c>
      <c r="K63" s="63">
        <f>$B$4*(1+$C$4)^(K4-2011)*D10/1000</f>
        <v>-4400</v>
      </c>
    </row>
    <row r="64" spans="7:11" x14ac:dyDescent="0.2">
      <c r="G64" s="55" t="s">
        <v>9</v>
      </c>
      <c r="H64" s="63"/>
      <c r="I64" s="63">
        <f>$B$5*(1+$C$5)^(I4-2011)*B10/1000</f>
        <v>-1700</v>
      </c>
      <c r="J64" s="63">
        <f>$B$5*(1+$C$5)^(J4-2011)*C10/1000</f>
        <v>-3230</v>
      </c>
      <c r="K64" s="63">
        <f>$B$5*(1+$C$5)^(K4-2011)*D10/1000</f>
        <v>-1360</v>
      </c>
    </row>
    <row r="65" spans="7:11" x14ac:dyDescent="0.2">
      <c r="G65" s="55" t="s">
        <v>11</v>
      </c>
      <c r="H65" s="63"/>
      <c r="I65" s="63">
        <f>SUM(I62:I64)</f>
        <v>6048.9696383999999</v>
      </c>
      <c r="J65" s="63">
        <f>SUM(J62:J64)</f>
        <v>11996.503159219203</v>
      </c>
      <c r="K65" s="63">
        <f>SUM(K62:K64)</f>
        <v>5267.3824094330848</v>
      </c>
    </row>
    <row r="66" spans="7:11" x14ac:dyDescent="0.2">
      <c r="G66" s="55" t="s">
        <v>12</v>
      </c>
      <c r="H66" s="63"/>
      <c r="I66" s="63">
        <f>E20</f>
        <v>-3055</v>
      </c>
      <c r="J66" s="63">
        <f>I66*(1+$F$20)</f>
        <v>-3055</v>
      </c>
      <c r="K66" s="63">
        <f>J66*(1+$F$20)</f>
        <v>-3055</v>
      </c>
    </row>
    <row r="67" spans="7:11" x14ac:dyDescent="0.2">
      <c r="G67" s="55" t="s">
        <v>14</v>
      </c>
      <c r="H67" s="63"/>
      <c r="I67" s="63"/>
      <c r="J67" s="63"/>
      <c r="K67" s="63"/>
    </row>
    <row r="68" spans="7:11" x14ac:dyDescent="0.2">
      <c r="G68" s="64" t="str">
        <f>G11</f>
        <v xml:space="preserve">     Arbeidskapital</v>
      </c>
      <c r="H68" s="63">
        <f>B33</f>
        <v>-1800</v>
      </c>
      <c r="I68" s="63">
        <f>C33</f>
        <v>-1688.3999999999999</v>
      </c>
      <c r="J68" s="63">
        <f>D33</f>
        <v>1990.2239999999999</v>
      </c>
      <c r="K68" s="63">
        <f>E33</f>
        <v>1498.1759999999999</v>
      </c>
    </row>
    <row r="69" spans="7:11" x14ac:dyDescent="0.2">
      <c r="G69" s="64" t="str">
        <f>G12</f>
        <v xml:space="preserve">     Anleggskapital/restverdi</v>
      </c>
      <c r="H69" s="63">
        <f>B26</f>
        <v>-8800</v>
      </c>
      <c r="I69" s="63"/>
      <c r="J69" s="63"/>
      <c r="K69" s="63">
        <f>B27*(1+C27)^2</f>
        <v>3200</v>
      </c>
    </row>
    <row r="70" spans="7:11" x14ac:dyDescent="0.2">
      <c r="G70" s="55" t="s">
        <v>18</v>
      </c>
      <c r="H70" s="63">
        <f>SUM(H65:H69)</f>
        <v>-10600</v>
      </c>
      <c r="I70" s="63">
        <f>SUM(I65:I69)</f>
        <v>1305.5696384</v>
      </c>
      <c r="J70" s="63">
        <f>SUM(J65:J69)</f>
        <v>10931.727159219203</v>
      </c>
      <c r="K70" s="63">
        <f>SUM(K65:K69)</f>
        <v>6910.5584094330843</v>
      </c>
    </row>
    <row r="72" spans="7:11" x14ac:dyDescent="0.2">
      <c r="G72" s="55" t="s">
        <v>38</v>
      </c>
      <c r="H72" s="62">
        <f>IRR(H70:K70)</f>
        <v>0.30101419287812581</v>
      </c>
    </row>
    <row r="75" spans="7:11" x14ac:dyDescent="0.2">
      <c r="G75" s="66"/>
    </row>
    <row r="76" spans="7:11" x14ac:dyDescent="0.2">
      <c r="G76" s="64"/>
    </row>
    <row r="77" spans="7:11" x14ac:dyDescent="0.2">
      <c r="G77" s="64"/>
    </row>
  </sheetData>
  <mergeCells count="2">
    <mergeCell ref="H3:K3"/>
    <mergeCell ref="B29:E29"/>
  </mergeCells>
  <printOptions gridLines="1"/>
  <pageMargins left="0.75" right="0.75" top="1" bottom="1" header="0.5" footer="0.5"/>
  <pageSetup paperSize="9" orientation="portrait" r:id="rId1"/>
  <headerFooter alignWithMargins="0"/>
  <ignoredErrors>
    <ignoredError sqref="J6:K6" formula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3"/>
  <sheetViews>
    <sheetView zoomScale="140" zoomScaleNormal="140" workbookViewId="0">
      <selection activeCell="I21" sqref="I21"/>
    </sheetView>
  </sheetViews>
  <sheetFormatPr baseColWidth="10" defaultColWidth="11.42578125" defaultRowHeight="12.75" x14ac:dyDescent="0.2"/>
  <cols>
    <col min="1" max="1" width="20.7109375" style="55" customWidth="1"/>
    <col min="2" max="2" width="9.42578125" style="55" bestFit="1" customWidth="1"/>
    <col min="3" max="3" width="11.85546875" style="55" bestFit="1" customWidth="1"/>
    <col min="4" max="5" width="10.140625" style="55" bestFit="1" customWidth="1"/>
    <col min="6" max="16384" width="11.42578125" style="55"/>
  </cols>
  <sheetData>
    <row r="1" spans="1:5" ht="19.5" customHeight="1" x14ac:dyDescent="0.25">
      <c r="A1" s="4" t="s">
        <v>0</v>
      </c>
      <c r="B1" s="5"/>
      <c r="C1" s="5"/>
      <c r="D1" s="5"/>
      <c r="E1" s="5"/>
    </row>
    <row r="2" spans="1:5" ht="15" x14ac:dyDescent="0.25">
      <c r="A2" s="5" t="s">
        <v>39</v>
      </c>
      <c r="B2" s="8">
        <v>6000</v>
      </c>
      <c r="C2" s="7" t="s">
        <v>40</v>
      </c>
      <c r="D2" s="5"/>
      <c r="E2" s="5"/>
    </row>
    <row r="3" spans="1:5" ht="15" x14ac:dyDescent="0.25">
      <c r="A3" s="5" t="s">
        <v>41</v>
      </c>
      <c r="B3" s="21">
        <v>0.06</v>
      </c>
      <c r="C3" s="5" t="s">
        <v>42</v>
      </c>
      <c r="D3" s="5"/>
      <c r="E3" s="5"/>
    </row>
    <row r="4" spans="1:5" ht="15" x14ac:dyDescent="0.25">
      <c r="A4" s="55" t="s">
        <v>80</v>
      </c>
      <c r="B4" s="56">
        <v>3</v>
      </c>
      <c r="C4" s="55" t="s">
        <v>81</v>
      </c>
      <c r="D4" s="5"/>
      <c r="E4" s="5"/>
    </row>
    <row r="5" spans="1:5" ht="15" x14ac:dyDescent="0.25">
      <c r="A5" s="5"/>
      <c r="B5" s="81" t="s">
        <v>3</v>
      </c>
      <c r="C5" s="81"/>
      <c r="D5" s="81"/>
      <c r="E5" s="81"/>
    </row>
    <row r="6" spans="1:5" ht="15" x14ac:dyDescent="0.25">
      <c r="A6" s="18"/>
      <c r="B6" s="17">
        <f>'Tabell 2.5'!H4</f>
        <v>2015</v>
      </c>
      <c r="C6" s="17">
        <f>'Tabell 2.5'!I4</f>
        <v>2016</v>
      </c>
      <c r="D6" s="17">
        <f>'Tabell 2.5'!J4</f>
        <v>2017</v>
      </c>
      <c r="E6" s="17">
        <f>'Tabell 2.5'!K4</f>
        <v>2018</v>
      </c>
    </row>
    <row r="7" spans="1:5" ht="15" x14ac:dyDescent="0.25">
      <c r="A7" s="5" t="str">
        <f>A2</f>
        <v>Lånebeløp</v>
      </c>
      <c r="B7" s="9">
        <f>B2</f>
        <v>6000</v>
      </c>
      <c r="C7" s="9"/>
      <c r="D7" s="9"/>
      <c r="E7" s="9"/>
    </row>
    <row r="8" spans="1:5" ht="15" x14ac:dyDescent="0.25">
      <c r="A8" s="5" t="s">
        <v>43</v>
      </c>
      <c r="B8" s="9"/>
      <c r="C8" s="9">
        <f>-$B$2/3</f>
        <v>-2000</v>
      </c>
      <c r="D8" s="9">
        <f>-$B$2/3</f>
        <v>-2000</v>
      </c>
      <c r="E8" s="9">
        <f>-$B$2/3</f>
        <v>-2000</v>
      </c>
    </row>
    <row r="9" spans="1:5" ht="15" x14ac:dyDescent="0.25">
      <c r="A9" s="5" t="s">
        <v>44</v>
      </c>
      <c r="B9" s="9">
        <f>B7</f>
        <v>6000</v>
      </c>
      <c r="C9" s="9">
        <f>B9+C8</f>
        <v>4000</v>
      </c>
      <c r="D9" s="9">
        <f>C9+D8</f>
        <v>2000</v>
      </c>
      <c r="E9" s="9">
        <f>D9+E8</f>
        <v>0</v>
      </c>
    </row>
    <row r="10" spans="1:5" ht="15" x14ac:dyDescent="0.25">
      <c r="A10" s="47" t="s">
        <v>45</v>
      </c>
      <c r="B10" s="48"/>
      <c r="C10" s="48">
        <f>-B9*$B$3</f>
        <v>-360</v>
      </c>
      <c r="D10" s="48">
        <f>-C9*$B$3</f>
        <v>-240</v>
      </c>
      <c r="E10" s="48">
        <f>-D9*$B$3</f>
        <v>-120</v>
      </c>
    </row>
    <row r="11" spans="1:5" ht="15.75" thickBot="1" x14ac:dyDescent="0.3">
      <c r="A11" s="16" t="s">
        <v>69</v>
      </c>
      <c r="B11" s="16">
        <f>B7+B8+B10</f>
        <v>6000</v>
      </c>
      <c r="C11" s="16">
        <f>C7+C8+C10</f>
        <v>-2360</v>
      </c>
      <c r="D11" s="16">
        <f>D7+D8+D10</f>
        <v>-2240</v>
      </c>
      <c r="E11" s="16">
        <f>E7+E8+E10</f>
        <v>-2120</v>
      </c>
    </row>
    <row r="12" spans="1:5" ht="13.5" thickTop="1" x14ac:dyDescent="0.2"/>
    <row r="13" spans="1:5" x14ac:dyDescent="0.2">
      <c r="A13" s="58"/>
      <c r="B13" s="58"/>
      <c r="C13" s="58"/>
      <c r="D13" s="58"/>
      <c r="E13" s="58"/>
    </row>
  </sheetData>
  <mergeCells count="1">
    <mergeCell ref="B5:E5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5"/>
  <sheetViews>
    <sheetView zoomScale="140" zoomScaleNormal="140" workbookViewId="0">
      <selection activeCell="A13" sqref="A13:E13"/>
    </sheetView>
  </sheetViews>
  <sheetFormatPr baseColWidth="10" defaultColWidth="11.42578125" defaultRowHeight="12.75" outlineLevelRow="1" x14ac:dyDescent="0.2"/>
  <cols>
    <col min="1" max="1" width="28.5703125" customWidth="1"/>
    <col min="2" max="2" width="10.85546875" bestFit="1" customWidth="1"/>
    <col min="3" max="3" width="10.140625" bestFit="1" customWidth="1"/>
    <col min="4" max="4" width="10.85546875" bestFit="1" customWidth="1"/>
    <col min="5" max="5" width="10.140625" bestFit="1" customWidth="1"/>
  </cols>
  <sheetData>
    <row r="1" spans="1:7" ht="14.25" customHeight="1" x14ac:dyDescent="0.2">
      <c r="A1" s="36" t="s">
        <v>0</v>
      </c>
    </row>
    <row r="2" spans="1:7" ht="15" x14ac:dyDescent="0.25">
      <c r="A2" s="3"/>
      <c r="B2" s="82" t="s">
        <v>3</v>
      </c>
      <c r="C2" s="82"/>
      <c r="D2" s="82"/>
      <c r="E2" s="82"/>
    </row>
    <row r="3" spans="1:7" ht="15" x14ac:dyDescent="0.25">
      <c r="A3" s="17"/>
      <c r="B3" s="17">
        <f>'Tabell 2.5'!H4</f>
        <v>2015</v>
      </c>
      <c r="C3" s="17">
        <f>'Tabell 2.5'!I4</f>
        <v>2016</v>
      </c>
      <c r="D3" s="17">
        <f>'Tabell 2.5'!J4</f>
        <v>2017</v>
      </c>
      <c r="E3" s="17">
        <f>'Tabell 2.5'!K4</f>
        <v>2018</v>
      </c>
    </row>
    <row r="4" spans="1:7" ht="15" hidden="1" outlineLevel="1" x14ac:dyDescent="0.25">
      <c r="A4" s="3" t="str">
        <f>'Tabell 2.4'!G5</f>
        <v>Omsetning</v>
      </c>
      <c r="B4" s="3"/>
      <c r="C4" s="15">
        <f>'Tabell 2.5'!I5</f>
        <v>12000</v>
      </c>
      <c r="D4" s="15">
        <f>'Tabell 2.5'!J5</f>
        <v>23256</v>
      </c>
      <c r="E4" s="15">
        <f>'Tabell 2.5'!K5</f>
        <v>9987.84</v>
      </c>
    </row>
    <row r="5" spans="1:7" ht="15" hidden="1" outlineLevel="1" x14ac:dyDescent="0.25">
      <c r="A5" s="3" t="str">
        <f>'Tabell 2.4'!G6</f>
        <v>Råmaterialer</v>
      </c>
      <c r="B5" s="3"/>
      <c r="C5" s="15">
        <f>'Tabell 2.5'!I6</f>
        <v>-5500</v>
      </c>
      <c r="D5" s="15">
        <f>'Tabell 2.5'!J6</f>
        <v>-10659</v>
      </c>
      <c r="E5" s="15">
        <f>'Tabell 2.5'!K6</f>
        <v>-4577.76</v>
      </c>
    </row>
    <row r="6" spans="1:7" ht="15" hidden="1" outlineLevel="1" x14ac:dyDescent="0.25">
      <c r="A6" s="3" t="str">
        <f>'Tabell 2.4'!G7</f>
        <v>Produksjonslønn</v>
      </c>
      <c r="B6" s="3"/>
      <c r="C6" s="15">
        <f>'Tabell 2.5'!I7</f>
        <v>-1700</v>
      </c>
      <c r="D6" s="15">
        <f>'Tabell 2.5'!J7</f>
        <v>-3294.6</v>
      </c>
      <c r="E6" s="15">
        <f>'Tabell 2.5'!K7</f>
        <v>-1414.944</v>
      </c>
    </row>
    <row r="7" spans="1:7" ht="15" collapsed="1" x14ac:dyDescent="0.25">
      <c r="A7" s="3" t="str">
        <f>'Tabell 2.5'!G8</f>
        <v>Dekningsbidrag</v>
      </c>
      <c r="B7" s="15"/>
      <c r="C7" s="15">
        <f>'Tabell 2.5'!I8</f>
        <v>4800</v>
      </c>
      <c r="D7" s="15">
        <f>'Tabell 2.5'!J8</f>
        <v>9302.4</v>
      </c>
      <c r="E7" s="15">
        <f>'Tabell 2.5'!K8</f>
        <v>3995.136</v>
      </c>
    </row>
    <row r="8" spans="1:7" ht="15" x14ac:dyDescent="0.25">
      <c r="A8" s="3" t="str">
        <f>'Tabell 2.5'!G9</f>
        <v>Faste kostnader</v>
      </c>
      <c r="B8" s="15"/>
      <c r="C8" s="15">
        <f>'Tabell 2.5'!I9</f>
        <v>-3055</v>
      </c>
      <c r="D8" s="15">
        <f>'Tabell 2.5'!J9</f>
        <v>-3116.1</v>
      </c>
      <c r="E8" s="15">
        <f>'Tabell 2.5'!K9</f>
        <v>-3178.422</v>
      </c>
    </row>
    <row r="9" spans="1:7" ht="15" x14ac:dyDescent="0.25">
      <c r="A9" s="3" t="str">
        <f>'Tabell 2.5'!G10</f>
        <v>Investering</v>
      </c>
      <c r="B9" s="15"/>
      <c r="C9" s="15"/>
      <c r="D9" s="15"/>
      <c r="E9" s="15"/>
    </row>
    <row r="10" spans="1:7" ht="15" x14ac:dyDescent="0.25">
      <c r="A10" s="3" t="str">
        <f>'Tabell 2.5'!G11</f>
        <v xml:space="preserve">     Arbeidskapital</v>
      </c>
      <c r="B10" s="15">
        <f>'Tabell 2.5'!H11</f>
        <v>-1800</v>
      </c>
      <c r="C10" s="15">
        <f>'Tabell 2.5'!I11</f>
        <v>-1688.3999999999999</v>
      </c>
      <c r="D10" s="15">
        <f>'Tabell 2.5'!J11</f>
        <v>1990.2239999999999</v>
      </c>
      <c r="E10" s="15">
        <f>'Tabell 2.5'!K11</f>
        <v>1498.1759999999999</v>
      </c>
    </row>
    <row r="11" spans="1:7" ht="15" x14ac:dyDescent="0.25">
      <c r="A11" s="35" t="str">
        <f>'Tabell 2.5'!G12</f>
        <v xml:space="preserve">     Anleggskapital/restverdi</v>
      </c>
      <c r="B11" s="34">
        <f>'Tabell 2.5'!H12</f>
        <v>-8800</v>
      </c>
      <c r="C11" s="34"/>
      <c r="D11" s="34"/>
      <c r="E11" s="34">
        <f>'Tabell 2.5'!K12</f>
        <v>3329.2799999999997</v>
      </c>
      <c r="G11" s="22"/>
    </row>
    <row r="12" spans="1:7" ht="15" x14ac:dyDescent="0.25">
      <c r="A12" s="3" t="s">
        <v>72</v>
      </c>
      <c r="B12" s="15">
        <f>'Tabell 2.5'!H13</f>
        <v>-10600</v>
      </c>
      <c r="C12" s="15">
        <f>'Tabell 2.5'!I13</f>
        <v>56.600000000000136</v>
      </c>
      <c r="D12" s="15">
        <f>'Tabell 2.5'!J13</f>
        <v>8176.5239999999994</v>
      </c>
      <c r="E12" s="15">
        <f>'Tabell 2.5'!K13</f>
        <v>5644.17</v>
      </c>
      <c r="G12" s="22"/>
    </row>
    <row r="13" spans="1:7" ht="15" x14ac:dyDescent="0.25">
      <c r="A13" s="35" t="s">
        <v>69</v>
      </c>
      <c r="B13" s="34">
        <f>'Tabell 2.6'!B11</f>
        <v>6000</v>
      </c>
      <c r="C13" s="34">
        <f>'Tabell 2.6'!C11</f>
        <v>-2360</v>
      </c>
      <c r="D13" s="34">
        <f>'Tabell 2.6'!D11</f>
        <v>-2240</v>
      </c>
      <c r="E13" s="34">
        <f>'Tabell 2.6'!E11</f>
        <v>-2120</v>
      </c>
    </row>
    <row r="14" spans="1:7" ht="15.75" thickBot="1" x14ac:dyDescent="0.3">
      <c r="A14" s="16" t="s">
        <v>51</v>
      </c>
      <c r="B14" s="16">
        <f>SUM(B12:B13)</f>
        <v>-4600</v>
      </c>
      <c r="C14" s="16">
        <f>SUM(C12:C13)</f>
        <v>-2303.3999999999996</v>
      </c>
      <c r="D14" s="16">
        <f>SUM(D12:D13)</f>
        <v>5936.5239999999994</v>
      </c>
      <c r="E14" s="16">
        <f>SUM(E12:E13)</f>
        <v>3524.17</v>
      </c>
    </row>
    <row r="15" spans="1:7" ht="13.5" thickTop="1" x14ac:dyDescent="0.2"/>
    <row r="16" spans="1:7" ht="15" x14ac:dyDescent="0.25">
      <c r="D16" s="15"/>
    </row>
    <row r="25" spans="4:4" ht="15" x14ac:dyDescent="0.25">
      <c r="D25" s="15"/>
    </row>
  </sheetData>
  <mergeCells count="1">
    <mergeCell ref="B2:E2"/>
  </mergeCells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zoomScale="140" zoomScaleNormal="140" workbookViewId="0">
      <selection activeCell="A6" sqref="A6:D6"/>
    </sheetView>
  </sheetViews>
  <sheetFormatPr baseColWidth="10" defaultColWidth="11.42578125" defaultRowHeight="12.75" x14ac:dyDescent="0.2"/>
  <cols>
    <col min="1" max="1" width="31.7109375" customWidth="1"/>
  </cols>
  <sheetData>
    <row r="1" spans="1:5" ht="17.25" customHeight="1" x14ac:dyDescent="0.25">
      <c r="A1" s="36" t="s">
        <v>0</v>
      </c>
      <c r="B1" s="3"/>
      <c r="C1" s="3"/>
      <c r="D1" s="3"/>
      <c r="E1" s="3"/>
    </row>
    <row r="2" spans="1:5" ht="15" x14ac:dyDescent="0.25">
      <c r="A2" s="3" t="s">
        <v>46</v>
      </c>
      <c r="B2" s="37">
        <v>0.2</v>
      </c>
      <c r="C2" s="3"/>
      <c r="D2" s="3"/>
      <c r="E2" s="3"/>
    </row>
    <row r="3" spans="1:5" ht="15" x14ac:dyDescent="0.25">
      <c r="A3" s="3"/>
      <c r="B3" s="82" t="s">
        <v>3</v>
      </c>
      <c r="C3" s="82"/>
      <c r="D3" s="82"/>
      <c r="E3" s="3"/>
    </row>
    <row r="4" spans="1:5" ht="15" x14ac:dyDescent="0.25">
      <c r="A4" s="17"/>
      <c r="B4" s="17">
        <f>'Tabell 2.5'!B9</f>
        <v>2016</v>
      </c>
      <c r="C4" s="17">
        <f>'Tabell 2.5'!C9</f>
        <v>2017</v>
      </c>
      <c r="D4" s="17">
        <f>'Tabell 2.5'!D9</f>
        <v>2018</v>
      </c>
      <c r="E4" s="3"/>
    </row>
    <row r="5" spans="1:5" ht="15" x14ac:dyDescent="0.25">
      <c r="A5" s="3" t="s">
        <v>49</v>
      </c>
      <c r="B5" s="38">
        <f>-'Tabell 2.5'!B26</f>
        <v>8800</v>
      </c>
      <c r="C5" s="39">
        <f>B5+B6</f>
        <v>7040</v>
      </c>
      <c r="D5" s="39">
        <f>C5+C6</f>
        <v>5632</v>
      </c>
      <c r="E5" s="3"/>
    </row>
    <row r="6" spans="1:5" ht="15" x14ac:dyDescent="0.25">
      <c r="A6" s="35" t="s">
        <v>65</v>
      </c>
      <c r="B6" s="73">
        <f>-B5*$B$2</f>
        <v>-1760</v>
      </c>
      <c r="C6" s="74">
        <f>- C5*$B$2</f>
        <v>-1408</v>
      </c>
      <c r="D6" s="74">
        <f>- D5*$B$2</f>
        <v>-1126.4000000000001</v>
      </c>
      <c r="E6" s="38">
        <f>SUM(B6:D6)</f>
        <v>-4294.3999999999996</v>
      </c>
    </row>
    <row r="7" spans="1:5" ht="15.75" thickBot="1" x14ac:dyDescent="0.3">
      <c r="A7" s="40" t="s">
        <v>54</v>
      </c>
      <c r="B7" s="41">
        <f>B5+B6</f>
        <v>7040</v>
      </c>
      <c r="C7" s="41">
        <f>C5+C6</f>
        <v>5632</v>
      </c>
      <c r="D7" s="41">
        <f>D5+D6</f>
        <v>4505.6000000000004</v>
      </c>
      <c r="E7" s="3"/>
    </row>
    <row r="8" spans="1:5" ht="13.5" thickTop="1" x14ac:dyDescent="0.2"/>
    <row r="15" spans="1:5" ht="15.75" x14ac:dyDescent="0.25">
      <c r="A15" s="27"/>
    </row>
  </sheetData>
  <mergeCells count="1">
    <mergeCell ref="B3:D3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8"/>
  <sheetViews>
    <sheetView zoomScale="140" zoomScaleNormal="140" workbookViewId="0">
      <selection activeCell="C26" sqref="C26"/>
    </sheetView>
  </sheetViews>
  <sheetFormatPr baseColWidth="10" defaultColWidth="9.140625" defaultRowHeight="12.75" outlineLevelRow="1" x14ac:dyDescent="0.2"/>
  <cols>
    <col min="1" max="1" width="26.7109375" style="58" customWidth="1"/>
    <col min="2" max="2" width="9.85546875" style="58" bestFit="1" customWidth="1"/>
    <col min="3" max="3" width="9.28515625" style="58" bestFit="1" customWidth="1"/>
    <col min="4" max="7" width="9.140625" style="58"/>
    <col min="8" max="8" width="11.28515625" style="58" customWidth="1"/>
    <col min="9" max="16384" width="9.140625" style="58"/>
  </cols>
  <sheetData>
    <row r="1" spans="1:9" ht="15" x14ac:dyDescent="0.25">
      <c r="A1" s="36" t="s">
        <v>0</v>
      </c>
      <c r="B1" s="3"/>
      <c r="C1" s="3"/>
      <c r="D1" s="3"/>
    </row>
    <row r="2" spans="1:9" ht="15" x14ac:dyDescent="0.25">
      <c r="A2" s="3"/>
      <c r="B2" s="82"/>
      <c r="C2" s="82"/>
      <c r="D2" s="3" t="s">
        <v>61</v>
      </c>
    </row>
    <row r="3" spans="1:9" ht="15" x14ac:dyDescent="0.25">
      <c r="A3" s="3" t="s">
        <v>78</v>
      </c>
      <c r="B3" s="42">
        <v>3329</v>
      </c>
      <c r="C3" s="42">
        <v>5200</v>
      </c>
      <c r="D3" s="3"/>
    </row>
    <row r="4" spans="1:9" ht="15" hidden="1" outlineLevel="1" x14ac:dyDescent="0.25">
      <c r="A4" s="3" t="s">
        <v>33</v>
      </c>
      <c r="B4" s="38">
        <f>-'Tabell 2.5'!B26</f>
        <v>8800</v>
      </c>
      <c r="C4" s="38">
        <f>B4</f>
        <v>8800</v>
      </c>
      <c r="D4" s="3"/>
    </row>
    <row r="5" spans="1:9" ht="15" hidden="1" outlineLevel="1" x14ac:dyDescent="0.25">
      <c r="A5" s="3" t="s">
        <v>70</v>
      </c>
      <c r="B5" s="38">
        <f>'Tabell 2.8'!E6</f>
        <v>-4294.3999999999996</v>
      </c>
      <c r="C5" s="38">
        <f>B5</f>
        <v>-4294.3999999999996</v>
      </c>
      <c r="D5" s="3"/>
    </row>
    <row r="6" spans="1:9" ht="15" collapsed="1" x14ac:dyDescent="0.25">
      <c r="A6" s="3" t="s">
        <v>66</v>
      </c>
      <c r="B6" s="38">
        <f>B4+B5</f>
        <v>4505.6000000000004</v>
      </c>
      <c r="C6" s="38">
        <f>B6</f>
        <v>4505.6000000000004</v>
      </c>
      <c r="D6" s="3" t="s">
        <v>56</v>
      </c>
    </row>
    <row r="7" spans="1:9" ht="15" x14ac:dyDescent="0.25">
      <c r="A7" s="3" t="s">
        <v>67</v>
      </c>
      <c r="B7" s="38">
        <f>B3-B6</f>
        <v>-1176.6000000000004</v>
      </c>
      <c r="C7" s="38">
        <f>C3-C6</f>
        <v>694.39999999999964</v>
      </c>
      <c r="D7" s="3"/>
    </row>
    <row r="9" spans="1:9" x14ac:dyDescent="0.2">
      <c r="B9" s="67"/>
      <c r="D9" s="67"/>
    </row>
    <row r="11" spans="1:9" x14ac:dyDescent="0.2">
      <c r="A11" s="75"/>
      <c r="B11" s="83"/>
      <c r="C11" s="83"/>
    </row>
    <row r="12" spans="1:9" ht="15" x14ac:dyDescent="0.25">
      <c r="A12" s="5"/>
      <c r="B12" s="67"/>
      <c r="C12" s="67"/>
    </row>
    <row r="13" spans="1:9" ht="15" x14ac:dyDescent="0.25">
      <c r="B13" s="67"/>
      <c r="C13" s="67"/>
      <c r="H13" s="7"/>
      <c r="I13" s="9"/>
    </row>
    <row r="14" spans="1:9" x14ac:dyDescent="0.2">
      <c r="B14" s="67"/>
      <c r="C14" s="67"/>
      <c r="E14" s="67"/>
    </row>
    <row r="15" spans="1:9" x14ac:dyDescent="0.2">
      <c r="B15" s="67"/>
      <c r="C15" s="67"/>
    </row>
    <row r="18" spans="3:3" ht="15" x14ac:dyDescent="0.25">
      <c r="C18" s="5"/>
    </row>
  </sheetData>
  <mergeCells count="2">
    <mergeCell ref="B11:C11"/>
    <mergeCell ref="B2:C2"/>
  </mergeCells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0"/>
  <sheetViews>
    <sheetView zoomScale="140" zoomScaleNormal="140" workbookViewId="0">
      <selection activeCell="A19" sqref="A19:E19"/>
    </sheetView>
  </sheetViews>
  <sheetFormatPr baseColWidth="10" defaultColWidth="11.42578125" defaultRowHeight="12.75" x14ac:dyDescent="0.2"/>
  <cols>
    <col min="1" max="1" width="37" customWidth="1"/>
    <col min="2" max="2" width="10.85546875" bestFit="1" customWidth="1"/>
    <col min="3" max="4" width="10.7109375" bestFit="1" customWidth="1"/>
  </cols>
  <sheetData>
    <row r="1" spans="1:11" ht="19.5" customHeight="1" x14ac:dyDescent="0.2">
      <c r="A1" s="36" t="s">
        <v>0</v>
      </c>
    </row>
    <row r="2" spans="1:11" ht="15" customHeight="1" x14ac:dyDescent="0.25">
      <c r="A2" s="43" t="s">
        <v>50</v>
      </c>
      <c r="B2" s="14">
        <v>0.27</v>
      </c>
      <c r="D2" s="3"/>
      <c r="E2" s="3"/>
      <c r="F2" s="3"/>
    </row>
    <row r="3" spans="1:11" ht="15" x14ac:dyDescent="0.25">
      <c r="A3" s="44"/>
      <c r="B3" s="84" t="s">
        <v>3</v>
      </c>
      <c r="C3" s="84"/>
      <c r="D3" s="84"/>
      <c r="E3" s="84"/>
      <c r="F3" s="3" t="s">
        <v>61</v>
      </c>
    </row>
    <row r="4" spans="1:11" ht="15" x14ac:dyDescent="0.25">
      <c r="A4" s="43"/>
      <c r="B4" s="19">
        <f>'Tabell 2.5'!H4</f>
        <v>2015</v>
      </c>
      <c r="C4" s="19">
        <f>'Tabell 2.5'!I4</f>
        <v>2016</v>
      </c>
      <c r="D4" s="19">
        <f>'Tabell 2.5'!J4</f>
        <v>2017</v>
      </c>
      <c r="E4" s="19">
        <f>'Tabell 2.5'!K4</f>
        <v>2018</v>
      </c>
      <c r="F4" s="3"/>
    </row>
    <row r="5" spans="1:11" ht="15" x14ac:dyDescent="0.25">
      <c r="A5" s="43" t="str">
        <f>'Tabell 2.7'!A7</f>
        <v>Dekningsbidrag</v>
      </c>
      <c r="B5" s="15"/>
      <c r="C5" s="15">
        <f>'Tabell 2.7'!C7</f>
        <v>4800</v>
      </c>
      <c r="D5" s="15">
        <f>'Tabell 2.7'!D7</f>
        <v>9302.4</v>
      </c>
      <c r="E5" s="15">
        <f>'Tabell 2.7'!E7</f>
        <v>3995.136</v>
      </c>
      <c r="F5" s="3"/>
    </row>
    <row r="6" spans="1:11" ht="15" x14ac:dyDescent="0.25">
      <c r="A6" s="43" t="str">
        <f>'Tabell 2.7'!A8</f>
        <v>Faste kostnader</v>
      </c>
      <c r="B6" s="15"/>
      <c r="C6" s="15">
        <f>'Tabell 2.7'!C8</f>
        <v>-3055</v>
      </c>
      <c r="D6" s="15">
        <f>'Tabell 2.7'!D8</f>
        <v>-3116.1</v>
      </c>
      <c r="E6" s="15">
        <f>'Tabell 2.7'!E8</f>
        <v>-3178.422</v>
      </c>
      <c r="F6" s="3"/>
    </row>
    <row r="7" spans="1:11" ht="15" x14ac:dyDescent="0.25">
      <c r="A7" s="43" t="str">
        <f>'Tabell 2.7'!A9</f>
        <v>Investering</v>
      </c>
      <c r="B7" s="15"/>
      <c r="C7" s="15"/>
      <c r="D7" s="15"/>
      <c r="E7" s="15"/>
      <c r="F7" s="3"/>
    </row>
    <row r="8" spans="1:11" ht="15" x14ac:dyDescent="0.25">
      <c r="A8" s="43" t="str">
        <f>'Tabell 2.7'!A10</f>
        <v xml:space="preserve">     Arbeidskapital</v>
      </c>
      <c r="B8" s="15">
        <f>'Tabell 2.7'!B10</f>
        <v>-1800</v>
      </c>
      <c r="C8" s="15">
        <f>'Tabell 2.7'!C10</f>
        <v>-1688.3999999999999</v>
      </c>
      <c r="D8" s="15">
        <f>'Tabell 2.7'!D10</f>
        <v>1990.2239999999999</v>
      </c>
      <c r="E8" s="15">
        <f>'Tabell 2.7'!E10</f>
        <v>1498.1759999999999</v>
      </c>
      <c r="F8" s="3"/>
    </row>
    <row r="9" spans="1:11" ht="15" x14ac:dyDescent="0.25">
      <c r="A9" s="44" t="str">
        <f>'Tabell 2.7'!A11</f>
        <v xml:space="preserve">     Anleggskapital/restverdi</v>
      </c>
      <c r="B9" s="34">
        <f>'Tabell 2.7'!B11</f>
        <v>-8800</v>
      </c>
      <c r="C9" s="34"/>
      <c r="D9" s="34"/>
      <c r="E9" s="34">
        <f>'Tabell 2.7'!E11</f>
        <v>3329.2799999999997</v>
      </c>
      <c r="F9" s="3"/>
    </row>
    <row r="10" spans="1:11" ht="15" x14ac:dyDescent="0.25">
      <c r="A10" s="44" t="s">
        <v>71</v>
      </c>
      <c r="B10" s="34">
        <f>'Tabell 2.7'!B12</f>
        <v>-10600</v>
      </c>
      <c r="C10" s="34">
        <f>'Tabell 2.7'!C12</f>
        <v>56.600000000000136</v>
      </c>
      <c r="D10" s="34">
        <f>'Tabell 2.7'!D12</f>
        <v>8176.5239999999994</v>
      </c>
      <c r="E10" s="34">
        <f>'Tabell 2.7'!E12</f>
        <v>5644.17</v>
      </c>
      <c r="F10" s="3" t="s">
        <v>53</v>
      </c>
      <c r="H10" s="31"/>
    </row>
    <row r="11" spans="1:11" ht="15" x14ac:dyDescent="0.25">
      <c r="A11" s="43" t="str">
        <f>'Tabell 2.6'!A7</f>
        <v>Lånebeløp</v>
      </c>
      <c r="B11" s="15">
        <f>'Tabell 2.6'!B7</f>
        <v>6000</v>
      </c>
      <c r="C11" s="15">
        <f>'Tabell 2.6'!C7</f>
        <v>0</v>
      </c>
      <c r="D11" s="15">
        <f>'Tabell 2.6'!D7</f>
        <v>0</v>
      </c>
      <c r="E11" s="15">
        <f>'Tabell 2.6'!E7</f>
        <v>0</v>
      </c>
      <c r="F11" s="3"/>
    </row>
    <row r="12" spans="1:11" ht="15" x14ac:dyDescent="0.25">
      <c r="A12" s="43" t="str">
        <f>'Tabell 2.6'!A8</f>
        <v>Avdrag</v>
      </c>
      <c r="B12" s="15"/>
      <c r="C12" s="15">
        <f>'Tabell 2.6'!C8</f>
        <v>-2000</v>
      </c>
      <c r="D12" s="15">
        <f>'Tabell 2.6'!D8</f>
        <v>-2000</v>
      </c>
      <c r="E12" s="15">
        <f>'Tabell 2.6'!E8</f>
        <v>-2000</v>
      </c>
      <c r="F12" s="3"/>
      <c r="K12" s="1"/>
    </row>
    <row r="13" spans="1:11" ht="15" x14ac:dyDescent="0.25">
      <c r="A13" s="44" t="str">
        <f>'Tabell 2.6'!A10</f>
        <v>Renter</v>
      </c>
      <c r="B13" s="35"/>
      <c r="C13" s="35">
        <f>'Tabell 2.6'!C10</f>
        <v>-360</v>
      </c>
      <c r="D13" s="35">
        <f>'Tabell 2.6'!D10</f>
        <v>-240</v>
      </c>
      <c r="E13" s="35">
        <f>'Tabell 2.6'!E10</f>
        <v>-120</v>
      </c>
      <c r="F13" s="3"/>
    </row>
    <row r="14" spans="1:11" ht="15" x14ac:dyDescent="0.25">
      <c r="A14" s="43" t="s">
        <v>63</v>
      </c>
      <c r="B14" s="15">
        <f>'Tabell 2.7'!B14</f>
        <v>-4600</v>
      </c>
      <c r="C14" s="15">
        <f>'Tabell 2.7'!C14</f>
        <v>-2303.3999999999996</v>
      </c>
      <c r="D14" s="15">
        <f>'Tabell 2.7'!D14</f>
        <v>5936.5239999999994</v>
      </c>
      <c r="E14" s="15">
        <f>'Tabell 2.7'!E14</f>
        <v>3524.17</v>
      </c>
      <c r="F14" s="3" t="s">
        <v>82</v>
      </c>
    </row>
    <row r="15" spans="1:11" ht="15" x14ac:dyDescent="0.25">
      <c r="A15" s="43" t="s">
        <v>73</v>
      </c>
      <c r="B15" s="3"/>
      <c r="C15" s="15">
        <f>'Tabell 2.8'!B6</f>
        <v>-1760</v>
      </c>
      <c r="D15" s="15">
        <f>'Tabell 2.8'!C6</f>
        <v>-1408</v>
      </c>
      <c r="E15" s="15">
        <f>'Tabell 2.8'!D6</f>
        <v>-1126.4000000000001</v>
      </c>
      <c r="F15" s="3"/>
    </row>
    <row r="16" spans="1:11" ht="15" x14ac:dyDescent="0.25">
      <c r="A16" s="44" t="s">
        <v>62</v>
      </c>
      <c r="B16" s="76"/>
      <c r="C16" s="76"/>
      <c r="D16" s="76"/>
      <c r="E16" s="76">
        <f>'Tabell 2.9'!B7</f>
        <v>-1176.6000000000004</v>
      </c>
      <c r="F16" s="3" t="s">
        <v>57</v>
      </c>
    </row>
    <row r="17" spans="1:7" ht="15" x14ac:dyDescent="0.25">
      <c r="A17" s="43" t="s">
        <v>83</v>
      </c>
      <c r="B17" s="3"/>
      <c r="C17" s="45">
        <f>C5+C6+C13+C15</f>
        <v>-375</v>
      </c>
      <c r="D17" s="45">
        <f>D5+D6+D13+D15</f>
        <v>4538.2999999999993</v>
      </c>
      <c r="E17" s="45">
        <f>E5+E6+E13+E15+E16</f>
        <v>-1606.2860000000005</v>
      </c>
      <c r="F17" s="3"/>
      <c r="G17" s="23"/>
    </row>
    <row r="18" spans="1:7" ht="15" x14ac:dyDescent="0.25">
      <c r="A18" s="44" t="s">
        <v>48</v>
      </c>
      <c r="B18" s="35"/>
      <c r="C18" s="46">
        <f>-C17*$B$2</f>
        <v>101.25</v>
      </c>
      <c r="D18" s="46">
        <f>-D17*$B$2</f>
        <v>-1225.3409999999999</v>
      </c>
      <c r="E18" s="46">
        <f>-E17*$B$2</f>
        <v>433.69722000000019</v>
      </c>
      <c r="F18" s="3"/>
    </row>
    <row r="19" spans="1:7" ht="15.75" thickBot="1" x14ac:dyDescent="0.3">
      <c r="A19" s="77" t="s">
        <v>55</v>
      </c>
      <c r="B19" s="78">
        <f>B14</f>
        <v>-4600</v>
      </c>
      <c r="C19" s="78">
        <f>C14+C18</f>
        <v>-2202.1499999999996</v>
      </c>
      <c r="D19" s="78">
        <f>D14+D18</f>
        <v>4711.1829999999991</v>
      </c>
      <c r="E19" s="78">
        <f>E14+E18</f>
        <v>3957.8672200000001</v>
      </c>
      <c r="F19" s="3"/>
    </row>
    <row r="20" spans="1:7" ht="13.5" thickTop="1" x14ac:dyDescent="0.2"/>
  </sheetData>
  <mergeCells count="1">
    <mergeCell ref="B3:E3"/>
  </mergeCells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9"/>
  <sheetViews>
    <sheetView tabSelected="1" zoomScale="140" zoomScaleNormal="140" workbookViewId="0"/>
  </sheetViews>
  <sheetFormatPr baseColWidth="10" defaultColWidth="11.42578125" defaultRowHeight="12.75" outlineLevelRow="1" x14ac:dyDescent="0.2"/>
  <cols>
    <col min="1" max="1" width="37.42578125" customWidth="1"/>
    <col min="2" max="2" width="11.140625" bestFit="1" customWidth="1"/>
    <col min="3" max="3" width="10.42578125" bestFit="1" customWidth="1"/>
    <col min="4" max="4" width="11.140625" bestFit="1" customWidth="1"/>
    <col min="5" max="5" width="10.42578125" bestFit="1" customWidth="1"/>
    <col min="6" max="6" width="10" customWidth="1"/>
  </cols>
  <sheetData>
    <row r="1" spans="1:10" ht="15" x14ac:dyDescent="0.25">
      <c r="A1" s="36" t="s">
        <v>0</v>
      </c>
      <c r="B1" s="3"/>
      <c r="C1" s="3"/>
      <c r="D1" s="3"/>
      <c r="E1" s="3"/>
      <c r="F1" s="3"/>
    </row>
    <row r="2" spans="1:10" ht="15" x14ac:dyDescent="0.25">
      <c r="A2" s="3"/>
      <c r="B2" s="85" t="str">
        <f>'Tabell 2.7'!B2:E2</f>
        <v>År</v>
      </c>
      <c r="C2" s="85"/>
      <c r="D2" s="85"/>
      <c r="E2" s="85"/>
      <c r="F2" s="3"/>
    </row>
    <row r="3" spans="1:10" ht="15" x14ac:dyDescent="0.25">
      <c r="A3" s="17"/>
      <c r="B3" s="17">
        <f>'Tabell 2.5'!H4</f>
        <v>2015</v>
      </c>
      <c r="C3" s="17">
        <f>'Tabell 2.5'!I4</f>
        <v>2016</v>
      </c>
      <c r="D3" s="17">
        <f>'Tabell 2.5'!J4</f>
        <v>2017</v>
      </c>
      <c r="E3" s="17">
        <f>'Tabell 2.5'!K4</f>
        <v>2018</v>
      </c>
      <c r="F3" s="3" t="s">
        <v>61</v>
      </c>
    </row>
    <row r="4" spans="1:10" ht="15" x14ac:dyDescent="0.25">
      <c r="A4" s="43" t="str">
        <f>'Tabell 2.5'!G8</f>
        <v>Dekningsbidrag</v>
      </c>
      <c r="B4" s="9"/>
      <c r="C4" s="9">
        <f>'Tabell 2.5'!I8</f>
        <v>4800</v>
      </c>
      <c r="D4" s="9">
        <f>'Tabell 2.5'!J8</f>
        <v>9302.4</v>
      </c>
      <c r="E4" s="9">
        <f>'Tabell 2.5'!K8</f>
        <v>3995.136</v>
      </c>
      <c r="F4" s="3"/>
      <c r="J4" s="28"/>
    </row>
    <row r="5" spans="1:10" ht="15" x14ac:dyDescent="0.25">
      <c r="A5" s="43" t="str">
        <f>'Tabell 2.5'!G9</f>
        <v>Faste kostnader</v>
      </c>
      <c r="B5" s="9"/>
      <c r="C5" s="9">
        <f>'Tabell 2.5'!I9</f>
        <v>-3055</v>
      </c>
      <c r="D5" s="9">
        <f>'Tabell 2.5'!J9</f>
        <v>-3116.1</v>
      </c>
      <c r="E5" s="9">
        <f>'Tabell 2.5'!K9</f>
        <v>-3178.422</v>
      </c>
      <c r="F5" s="3"/>
    </row>
    <row r="6" spans="1:10" ht="15" x14ac:dyDescent="0.25">
      <c r="A6" s="43" t="str">
        <f>'Tabell 2.5'!G10</f>
        <v>Investering</v>
      </c>
      <c r="B6" s="9"/>
      <c r="C6" s="9"/>
      <c r="D6" s="9"/>
      <c r="E6" s="9"/>
      <c r="F6" s="3"/>
    </row>
    <row r="7" spans="1:10" ht="15" x14ac:dyDescent="0.25">
      <c r="A7" s="43" t="str">
        <f>'Tabell 2.5'!G11</f>
        <v xml:space="preserve">     Arbeidskapital</v>
      </c>
      <c r="B7" s="9">
        <f>'Tabell 2.5'!H11</f>
        <v>-1800</v>
      </c>
      <c r="C7" s="9">
        <f>'Tabell 2.5'!I11</f>
        <v>-1688.3999999999999</v>
      </c>
      <c r="D7" s="9">
        <f>'Tabell 2.5'!J11</f>
        <v>1990.2239999999999</v>
      </c>
      <c r="E7" s="9">
        <f>'Tabell 2.5'!K11</f>
        <v>1498.1759999999999</v>
      </c>
      <c r="F7" s="3"/>
    </row>
    <row r="8" spans="1:10" ht="15" x14ac:dyDescent="0.25">
      <c r="A8" s="44" t="str">
        <f>'Tabell 2.5'!G12</f>
        <v xml:space="preserve">     Anleggskapital/restverdi</v>
      </c>
      <c r="B8" s="48">
        <f>'Tabell 2.5'!H12</f>
        <v>-8800</v>
      </c>
      <c r="C8" s="48"/>
      <c r="D8" s="48"/>
      <c r="E8" s="48">
        <f>'Tabell 2.5'!K12</f>
        <v>3329.2799999999997</v>
      </c>
      <c r="F8" s="3"/>
    </row>
    <row r="9" spans="1:10" ht="15" x14ac:dyDescent="0.25">
      <c r="A9" s="43" t="s">
        <v>71</v>
      </c>
      <c r="B9" s="9">
        <f>SUM(B4:B8)</f>
        <v>-10600</v>
      </c>
      <c r="C9" s="9">
        <f>SUM(C4:C8)</f>
        <v>56.600000000000136</v>
      </c>
      <c r="D9" s="9">
        <f>SUM(D4:D8)</f>
        <v>8176.5239999999994</v>
      </c>
      <c r="E9" s="9">
        <f>SUM(E4:E8)</f>
        <v>5644.17</v>
      </c>
      <c r="F9" s="3" t="s">
        <v>53</v>
      </c>
      <c r="I9" s="31"/>
    </row>
    <row r="10" spans="1:10" ht="15" x14ac:dyDescent="0.25">
      <c r="A10" s="43" t="s">
        <v>73</v>
      </c>
      <c r="B10" s="9"/>
      <c r="C10" s="9">
        <f>'Tabell 2.8'!B6</f>
        <v>-1760</v>
      </c>
      <c r="D10" s="9">
        <f>'Tabell 2.8'!C6</f>
        <v>-1408</v>
      </c>
      <c r="E10" s="9">
        <f>'Tabell 2.8'!D6</f>
        <v>-1126.4000000000001</v>
      </c>
      <c r="F10" s="3" t="s">
        <v>56</v>
      </c>
    </row>
    <row r="11" spans="1:10" ht="15" x14ac:dyDescent="0.25">
      <c r="A11" s="44" t="s">
        <v>64</v>
      </c>
      <c r="B11" s="48"/>
      <c r="C11" s="48"/>
      <c r="D11" s="48"/>
      <c r="E11" s="48">
        <f>'Tabell 2.9'!B7</f>
        <v>-1176.6000000000004</v>
      </c>
      <c r="F11" s="3" t="s">
        <v>57</v>
      </c>
    </row>
    <row r="12" spans="1:10" ht="15" x14ac:dyDescent="0.25">
      <c r="A12" s="43" t="s">
        <v>47</v>
      </c>
      <c r="B12" s="9"/>
      <c r="C12" s="9">
        <f>C4+C5+C10</f>
        <v>-15</v>
      </c>
      <c r="D12" s="9">
        <f>D4+D5+D10</f>
        <v>4778.2999999999993</v>
      </c>
      <c r="E12" s="9">
        <f>E4+E5+E10+E11</f>
        <v>-1486.2860000000005</v>
      </c>
      <c r="F12" s="3"/>
    </row>
    <row r="13" spans="1:10" ht="15" x14ac:dyDescent="0.25">
      <c r="A13" s="44" t="s">
        <v>48</v>
      </c>
      <c r="B13" s="48"/>
      <c r="C13" s="48">
        <f>-C12*'Tabell 2.10'!$B$2</f>
        <v>4.0500000000000007</v>
      </c>
      <c r="D13" s="48">
        <f>-D12*'Tabell 2.10'!$B$2</f>
        <v>-1290.1409999999998</v>
      </c>
      <c r="E13" s="48">
        <f>-E12*'Tabell 2.10'!$B$2</f>
        <v>401.29722000000015</v>
      </c>
      <c r="F13" s="3"/>
    </row>
    <row r="14" spans="1:10" ht="15.75" thickBot="1" x14ac:dyDescent="0.3">
      <c r="A14" s="77" t="s">
        <v>60</v>
      </c>
      <c r="B14" s="79">
        <f>B9+B13</f>
        <v>-10600</v>
      </c>
      <c r="C14" s="79">
        <f>C9+C13</f>
        <v>60.650000000000134</v>
      </c>
      <c r="D14" s="79">
        <f>D9+D13</f>
        <v>6886.3829999999998</v>
      </c>
      <c r="E14" s="79">
        <f>E9+E13</f>
        <v>6045.4672200000005</v>
      </c>
      <c r="F14" s="3"/>
      <c r="H14" s="2"/>
    </row>
    <row r="15" spans="1:10" ht="15.75" thickTop="1" x14ac:dyDescent="0.25">
      <c r="A15" s="3"/>
      <c r="B15" s="15"/>
      <c r="C15" s="15"/>
      <c r="D15" s="15"/>
      <c r="E15" s="15"/>
      <c r="F15" s="3"/>
      <c r="H15" s="2"/>
    </row>
    <row r="16" spans="1:10" ht="15" x14ac:dyDescent="0.25">
      <c r="A16" s="3"/>
      <c r="B16" s="15"/>
      <c r="C16" s="15"/>
      <c r="D16" s="15"/>
      <c r="E16" s="15"/>
      <c r="F16" s="3"/>
      <c r="H16" s="2"/>
    </row>
    <row r="17" spans="1:6" ht="15" x14ac:dyDescent="0.25">
      <c r="A17" s="3"/>
      <c r="B17" s="15"/>
      <c r="C17" s="15"/>
      <c r="D17" s="15"/>
      <c r="E17" s="15"/>
      <c r="F17" s="3"/>
    </row>
    <row r="18" spans="1:6" ht="15" x14ac:dyDescent="0.25">
      <c r="A18" s="3"/>
      <c r="B18" s="15"/>
      <c r="C18" s="15"/>
      <c r="D18" s="15"/>
      <c r="E18" s="15"/>
      <c r="F18" s="3"/>
    </row>
    <row r="19" spans="1:6" ht="15" x14ac:dyDescent="0.25">
      <c r="A19" s="3"/>
      <c r="B19" s="22"/>
      <c r="C19" s="22"/>
      <c r="D19" s="22"/>
      <c r="E19" s="22"/>
    </row>
    <row r="21" spans="1:6" x14ac:dyDescent="0.2">
      <c r="B21" s="86"/>
      <c r="C21" s="86"/>
      <c r="D21" s="86"/>
      <c r="E21" s="86"/>
    </row>
    <row r="22" spans="1:6" x14ac:dyDescent="0.2">
      <c r="B22" s="2"/>
      <c r="C22" s="2"/>
      <c r="D22" s="2"/>
      <c r="E22" s="2"/>
    </row>
    <row r="23" spans="1:6" ht="15" hidden="1" outlineLevel="1" x14ac:dyDescent="0.25">
      <c r="A23" s="3"/>
      <c r="B23" s="15"/>
      <c r="C23" s="15"/>
      <c r="D23" s="15"/>
      <c r="E23" s="15"/>
      <c r="F23" t="s">
        <v>58</v>
      </c>
    </row>
    <row r="24" spans="1:6" ht="15" hidden="1" outlineLevel="1" x14ac:dyDescent="0.25">
      <c r="A24" s="3"/>
      <c r="B24" s="22"/>
      <c r="C24" s="22"/>
      <c r="D24" s="22"/>
      <c r="E24" s="22"/>
      <c r="F24" t="s">
        <v>59</v>
      </c>
    </row>
    <row r="25" spans="1:6" ht="15" hidden="1" outlineLevel="1" x14ac:dyDescent="0.25">
      <c r="A25" s="3"/>
      <c r="B25" s="22"/>
      <c r="C25" s="22"/>
      <c r="D25" s="22"/>
      <c r="E25" s="22"/>
    </row>
    <row r="26" spans="1:6" ht="15" collapsed="1" x14ac:dyDescent="0.25">
      <c r="A26" s="3"/>
    </row>
    <row r="27" spans="1:6" ht="15" x14ac:dyDescent="0.25">
      <c r="A27" s="3"/>
      <c r="C27" s="25"/>
      <c r="D27" s="25"/>
      <c r="E27" s="25"/>
    </row>
    <row r="28" spans="1:6" x14ac:dyDescent="0.2">
      <c r="C28" s="2"/>
      <c r="D28" s="2"/>
      <c r="E28" s="2"/>
    </row>
    <row r="29" spans="1:6" ht="15" x14ac:dyDescent="0.25">
      <c r="A29" s="3"/>
      <c r="C29" s="2"/>
      <c r="D29" s="2"/>
      <c r="E29" s="2"/>
    </row>
  </sheetData>
  <mergeCells count="2">
    <mergeCell ref="B2:E2"/>
    <mergeCell ref="B21:E2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Tabell 2.4</vt:lpstr>
      <vt:lpstr>Tabell 2.5</vt:lpstr>
      <vt:lpstr>Tabell 2.6</vt:lpstr>
      <vt:lpstr>Tabell 2.7</vt:lpstr>
      <vt:lpstr>Tabell 2.8</vt:lpstr>
      <vt:lpstr>Tabell 2.9</vt:lpstr>
      <vt:lpstr>Tabell 2.10</vt:lpstr>
      <vt:lpstr>Tabell 2.11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 Gjærum</dc:creator>
  <cp:lastModifiedBy>Malgorzata Golinska</cp:lastModifiedBy>
  <dcterms:created xsi:type="dcterms:W3CDTF">2009-06-09T10:59:07Z</dcterms:created>
  <dcterms:modified xsi:type="dcterms:W3CDTF">2019-10-22T09:09:14Z</dcterms:modified>
</cp:coreProperties>
</file>