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3995" activeTab="5"/>
  </bookViews>
  <sheets>
    <sheet name="Pris og volum" sheetId="1" r:id="rId1"/>
    <sheet name="Finansiering" sheetId="2" r:id="rId2"/>
    <sheet name="Avskrivninger" sheetId="3" r:id="rId3"/>
    <sheet name="Kontantstrømmer" sheetId="4" r:id="rId4"/>
    <sheet name="Tabell 2.11" sheetId="5" r:id="rId5"/>
    <sheet name="Tabell 2.15 og 2.16" sheetId="6" r:id="rId6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utfører beregningene bak tabellene 2.5 til 2.8. Kontantstrømmen som budsjetters ligger i cellene H11-L11. 
I tabell 2.5 budsjetteres reell kontantstrøm til totalkapitalen før skatt. For å finne denne settes alle prisendringer (i cellene C3-C5, G20 og C27) lik null.
Tabell 2.6 er et utdrag av tabell 2.5 og starter med dekningsbidrag. Tabell 2.6 får du frem ved å skjule linjene 3-5 (ved å trykke på minusen i margen utfor linje 6).
I tabell 2.7 forutsettes det at alle priser og kostnader stiger med 4 % pr. år. Ved å legge inn 4 % i  i cellene C3-C5, G20 og C27 får du tabell 2.8.
Tabell 2.8 viser kontantstrømmen når spesiell prisstigning avviker fra den generelle. Prisstigning for hver komponent legges inn i cellene C3-C5, G20 og C27.
Alle tabellene frem til og med 2.19 bygger på inputverdiene i dette regnearket. De er derfor hentet herfra og må endres her og ikke i senere tabeller.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Budsjetterer et låns kontantstrøm, oppdelt i renter og avdrag. Avdragsprofil kan være enten serie- eller annuitetslån. Dette angis i celle B5. Lånets kontanstrøm oppdelt i renter og avdrag for valgt avdragsprofil vises i linjene 23-25. De får du se om du klikker på plusstegnet foran linje 26.</t>
        </r>
      </text>
    </comment>
    <comment ref="B5" authorId="0">
      <text>
        <r>
          <rPr>
            <sz val="9"/>
            <rFont val="Tahoma"/>
            <family val="2"/>
          </rPr>
          <t xml:space="preserve">Settes lik 1 hvis serielån, hva som helst annet hvis annuitetslån.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regnarket bergens årlig avskrivning basert på saldosatsen i celle B2. Samlet avskrivning ved planperiodens slutt beregnes i celle F5.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regnearket er det ingen tall med fet font. Dette innbærer at alle inputdataene ligger i andre regneark og må endres der.</t>
        </r>
      </text>
    </comment>
  </commentList>
</comments>
</file>

<file path=xl/comments6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regnearket legger du inn bedriftens skattesats. Våren 2009 er denne 28 %. Sjekk eventuelt på for eksempel http://public.deloitte.no/dokumenter/DeloitteNokkelen_mars09.pdf 
om det er skjedd noen endringer her.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<sst xmlns="http://schemas.openxmlformats.org/spreadsheetml/2006/main" count="111" uniqueCount="78">
  <si>
    <t>Les dette</t>
  </si>
  <si>
    <t>Omsetning</t>
  </si>
  <si>
    <t>Arbeidskapitalprosent</t>
  </si>
  <si>
    <t>År</t>
  </si>
  <si>
    <t>a. Produktkalkyle, kroner pr sykkel</t>
  </si>
  <si>
    <t>Prisendring</t>
  </si>
  <si>
    <t>Salgspris</t>
  </si>
  <si>
    <t>Råmaterialer og innkjøpte deler</t>
  </si>
  <si>
    <t>Råmaterialer</t>
  </si>
  <si>
    <t>Produksjonslønn</t>
  </si>
  <si>
    <t>Dekningsbidrag pr. sykkel</t>
  </si>
  <si>
    <t>Dekningsbidrag</t>
  </si>
  <si>
    <t>Faste utbetalinger</t>
  </si>
  <si>
    <t>b. Salgsbudsjett, antall sykler</t>
  </si>
  <si>
    <t>Investering</t>
  </si>
  <si>
    <t xml:space="preserve">     Arbeidskapital</t>
  </si>
  <si>
    <t>Salgvolum</t>
  </si>
  <si>
    <t xml:space="preserve">     Anleggskapital/restverdi</t>
  </si>
  <si>
    <t>Kontantstrøm</t>
  </si>
  <si>
    <t>c. Faste utbetalinger</t>
  </si>
  <si>
    <t>Antall</t>
  </si>
  <si>
    <t>Enhet</t>
  </si>
  <si>
    <t>Pris</t>
  </si>
  <si>
    <t>1 000 NOK</t>
  </si>
  <si>
    <t>Lønn</t>
  </si>
  <si>
    <t>årsverk</t>
  </si>
  <si>
    <t>kr/årsverk</t>
  </si>
  <si>
    <t>Husleie</t>
  </si>
  <si>
    <r>
      <t>m</t>
    </r>
    <r>
      <rPr>
        <vertAlign val="superscript"/>
        <sz val="11"/>
        <rFont val="Times New Roman"/>
        <family val="1"/>
      </rPr>
      <t>2</t>
    </r>
  </si>
  <si>
    <r>
      <t>kr/m</t>
    </r>
    <r>
      <rPr>
        <vertAlign val="superscript"/>
        <sz val="11"/>
        <rFont val="Times New Roman"/>
        <family val="1"/>
      </rPr>
      <t>2</t>
    </r>
  </si>
  <si>
    <t>Elektrisitet</t>
  </si>
  <si>
    <t>kWh</t>
  </si>
  <si>
    <t>kr/kWh</t>
  </si>
  <si>
    <t>Forsikringer</t>
  </si>
  <si>
    <t>Markedsføring og salg</t>
  </si>
  <si>
    <t>Diverse</t>
  </si>
  <si>
    <t>Sum faste utbetalinger</t>
  </si>
  <si>
    <t>d. Anleggskapital, 1 000 kroner</t>
  </si>
  <si>
    <t>Maskiner</t>
  </si>
  <si>
    <t>Inventar</t>
  </si>
  <si>
    <t>Sum anleggsinvestering</t>
  </si>
  <si>
    <t>Restverdi</t>
  </si>
  <si>
    <t>e. Arbeidskapital</t>
  </si>
  <si>
    <t>Beholdning arbeidskapital</t>
  </si>
  <si>
    <t>Investering, arbeidskapital</t>
  </si>
  <si>
    <t>ir</t>
  </si>
  <si>
    <t>Lånebeløp</t>
  </si>
  <si>
    <t>1 000 kr</t>
  </si>
  <si>
    <t>Nominell rentesats</t>
  </si>
  <si>
    <t>p.a.</t>
  </si>
  <si>
    <t>Løpetid</t>
  </si>
  <si>
    <t>år</t>
  </si>
  <si>
    <t>Avdrag</t>
  </si>
  <si>
    <t>Restgjeld</t>
  </si>
  <si>
    <t>Renter</t>
  </si>
  <si>
    <t>Serielån</t>
  </si>
  <si>
    <t>Annuitetslån</t>
  </si>
  <si>
    <t>Serie/annuitetslån</t>
  </si>
  <si>
    <t>Saldosats</t>
  </si>
  <si>
    <t>Meravskrivning</t>
  </si>
  <si>
    <t>Resultat før skatt</t>
  </si>
  <si>
    <t>Skatt</t>
  </si>
  <si>
    <t>Resultat etter skatt</t>
  </si>
  <si>
    <t>Bokført verdi før avskrivning</t>
  </si>
  <si>
    <t>Avskrivning</t>
  </si>
  <si>
    <t>Skattesats</t>
  </si>
  <si>
    <t>Kontantstrøm til totalkapitalen</t>
  </si>
  <si>
    <t>Låneopptak</t>
  </si>
  <si>
    <t>Kontantstrøm til egenkapitalen</t>
  </si>
  <si>
    <t>Kontantstrøm til eierne før skatt</t>
  </si>
  <si>
    <t>Kontantstrøm til eierne etter skatt</t>
  </si>
  <si>
    <t>Til totalkapitalen før skatt</t>
  </si>
  <si>
    <t>Investering arbeidskapital</t>
  </si>
  <si>
    <t>Investering anleggskapital</t>
  </si>
  <si>
    <t>Til totalkapitalen etter skatt</t>
  </si>
  <si>
    <t>Skattebesparelse renter</t>
  </si>
  <si>
    <t>Til egenkapitalen etter skatt</t>
  </si>
  <si>
    <t>Til egenkapitalen før skatt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</si>
</sst>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0.0\ %"/>
    <numFmt numFmtId="166" formatCode="0.000"/>
    <numFmt numFmtId="167" formatCode="0.0"/>
    <numFmt numFmtId="168" formatCode="_ * #,##0.0_ ;_ * \-#,##0.0_ ;_ * &quot;-&quot;??_ ;_ @_ "/>
    <numFmt numFmtId="169" formatCode="_ * #,##0_ ;_ * \-#,##0_ ;_ * &quot;-&quot;??_ ;_ @_ "/>
    <numFmt numFmtId="170" formatCode="0.0000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u val="single"/>
      <sz val="8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0" fillId="0" borderId="0" xfId="58">
      <alignment/>
      <protection/>
    </xf>
    <xf numFmtId="0" fontId="3" fillId="0" borderId="0" xfId="58" applyFont="1" applyAlignment="1" quotePrefix="1">
      <alignment horizontal="left"/>
      <protection/>
    </xf>
    <xf numFmtId="3" fontId="4" fillId="0" borderId="0" xfId="58" applyNumberFormat="1" applyFont="1">
      <alignment/>
      <protection/>
    </xf>
    <xf numFmtId="9" fontId="4" fillId="0" borderId="0" xfId="62" applyFont="1" applyAlignment="1">
      <alignment/>
    </xf>
    <xf numFmtId="3" fontId="3" fillId="0" borderId="0" xfId="58" applyNumberFormat="1" applyFont="1">
      <alignment/>
      <protection/>
    </xf>
    <xf numFmtId="0" fontId="3" fillId="0" borderId="0" xfId="58" applyFont="1" applyAlignment="1">
      <alignment horizontal="right"/>
      <protection/>
    </xf>
    <xf numFmtId="0" fontId="3" fillId="0" borderId="0" xfId="58" applyFont="1" applyAlignment="1" quotePrefix="1">
      <alignment horizontal="right"/>
      <protection/>
    </xf>
    <xf numFmtId="3" fontId="3" fillId="0" borderId="0" xfId="58" applyNumberFormat="1" applyFont="1" applyAlignment="1">
      <alignment horizontal="right"/>
      <protection/>
    </xf>
    <xf numFmtId="3" fontId="3" fillId="0" borderId="0" xfId="58" applyNumberFormat="1" applyFont="1" applyAlignment="1" quotePrefix="1">
      <alignment horizontal="right"/>
      <protection/>
    </xf>
    <xf numFmtId="9" fontId="4" fillId="0" borderId="0" xfId="58" applyNumberFormat="1" applyFont="1">
      <alignment/>
      <protection/>
    </xf>
    <xf numFmtId="165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3" fontId="0" fillId="0" borderId="0" xfId="58" applyNumberFormat="1">
      <alignment/>
      <protection/>
    </xf>
    <xf numFmtId="0" fontId="0" fillId="0" borderId="0" xfId="58" applyAlignment="1" quotePrefix="1">
      <alignment horizontal="left"/>
      <protection/>
    </xf>
    <xf numFmtId="0" fontId="0" fillId="0" borderId="0" xfId="58" applyAlignment="1" quotePrefix="1">
      <alignment horizontal="center"/>
      <protection/>
    </xf>
    <xf numFmtId="0" fontId="6" fillId="0" borderId="0" xfId="58" applyFont="1">
      <alignment/>
      <protection/>
    </xf>
    <xf numFmtId="9" fontId="4" fillId="0" borderId="0" xfId="61" applyFont="1" applyAlignment="1">
      <alignment/>
    </xf>
    <xf numFmtId="10" fontId="4" fillId="0" borderId="0" xfId="61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3" fillId="0" borderId="0" xfId="58" applyNumberFormat="1" applyFont="1">
      <alignment/>
      <protection/>
    </xf>
    <xf numFmtId="169" fontId="3" fillId="0" borderId="0" xfId="42" applyNumberFormat="1" applyFont="1" applyAlignment="1">
      <alignment/>
    </xf>
    <xf numFmtId="3" fontId="0" fillId="0" borderId="0" xfId="44" applyNumberFormat="1" applyFont="1" applyAlignment="1">
      <alignment/>
    </xf>
    <xf numFmtId="16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 applyAlignment="1">
      <alignment horizontal="right"/>
      <protection/>
    </xf>
    <xf numFmtId="3" fontId="3" fillId="0" borderId="11" xfId="58" applyNumberFormat="1" applyFont="1" applyBorder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3" fillId="0" borderId="0" xfId="42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N34" sqref="N34"/>
    </sheetView>
  </sheetViews>
  <sheetFormatPr defaultColWidth="9.140625" defaultRowHeight="12.75" outlineLevelRow="1"/>
  <cols>
    <col min="1" max="1" width="30.140625" style="8" customWidth="1"/>
    <col min="2" max="3" width="9.140625" style="8" customWidth="1"/>
    <col min="4" max="4" width="9.421875" style="8" customWidth="1"/>
    <col min="5" max="5" width="9.140625" style="8" customWidth="1"/>
    <col min="6" max="6" width="11.28125" style="8" customWidth="1"/>
    <col min="7" max="7" width="4.57421875" style="8" customWidth="1"/>
    <col min="8" max="8" width="26.421875" style="8" customWidth="1"/>
    <col min="9" max="9" width="10.421875" style="8" customWidth="1"/>
    <col min="10" max="10" width="13.28125" style="8" bestFit="1" customWidth="1"/>
    <col min="11" max="11" width="10.7109375" style="8" bestFit="1" customWidth="1"/>
    <col min="12" max="12" width="10.28125" style="8" bestFit="1" customWidth="1"/>
    <col min="13" max="16384" width="9.140625" style="8" customWidth="1"/>
  </cols>
  <sheetData>
    <row r="1" spans="1:12" ht="103.5" customHeight="1">
      <c r="A1" s="5" t="s">
        <v>0</v>
      </c>
      <c r="B1" s="6"/>
      <c r="C1" s="6"/>
      <c r="D1" s="6"/>
      <c r="E1" s="6"/>
      <c r="F1" s="6"/>
      <c r="G1" s="6"/>
      <c r="H1" s="6"/>
      <c r="I1" s="36" t="s">
        <v>3</v>
      </c>
      <c r="J1" s="36"/>
      <c r="K1" s="36"/>
      <c r="L1" s="36"/>
    </row>
    <row r="2" spans="1:12" ht="15">
      <c r="A2" s="9" t="s">
        <v>4</v>
      </c>
      <c r="B2" s="6"/>
      <c r="C2" s="6" t="s">
        <v>5</v>
      </c>
      <c r="D2" s="6"/>
      <c r="E2" s="6"/>
      <c r="F2" s="6"/>
      <c r="G2" s="6"/>
      <c r="H2" s="35"/>
      <c r="I2" s="35">
        <f>B30</f>
        <v>2010</v>
      </c>
      <c r="J2" s="35">
        <f>C30</f>
        <v>2011</v>
      </c>
      <c r="K2" s="35">
        <f>D30</f>
        <v>2012</v>
      </c>
      <c r="L2" s="35">
        <f>E30</f>
        <v>2013</v>
      </c>
    </row>
    <row r="3" spans="1:12" ht="15" outlineLevel="1">
      <c r="A3" s="6" t="s">
        <v>6</v>
      </c>
      <c r="B3" s="10">
        <v>12000</v>
      </c>
      <c r="C3" s="11">
        <v>0.04</v>
      </c>
      <c r="D3" s="6"/>
      <c r="E3" s="6"/>
      <c r="F3" s="6"/>
      <c r="G3" s="6"/>
      <c r="H3" s="6" t="s">
        <v>1</v>
      </c>
      <c r="I3" s="12"/>
      <c r="J3" s="12">
        <f>$B3*B$10/1000</f>
        <v>12000</v>
      </c>
      <c r="K3" s="12">
        <f>$B3*C$10*(1+C3)/1000</f>
        <v>23712</v>
      </c>
      <c r="L3" s="12">
        <f>$B3*D$10*(1+C3)^2/1000</f>
        <v>10383.360000000002</v>
      </c>
    </row>
    <row r="4" spans="1:12" ht="15" outlineLevel="1">
      <c r="A4" s="9" t="s">
        <v>7</v>
      </c>
      <c r="B4" s="10">
        <v>-5500</v>
      </c>
      <c r="C4" s="17">
        <v>0.04</v>
      </c>
      <c r="D4" s="6"/>
      <c r="E4" s="6"/>
      <c r="F4" s="6"/>
      <c r="G4" s="6"/>
      <c r="H4" s="6" t="s">
        <v>8</v>
      </c>
      <c r="I4" s="12"/>
      <c r="J4" s="12">
        <f>$B4*B$10/1000</f>
        <v>-5500</v>
      </c>
      <c r="K4" s="12">
        <f>$B4*C$10*(1+C4)/1000</f>
        <v>-10868</v>
      </c>
      <c r="L4" s="12">
        <f>$B4*D$10*(1+C4)^2/1000</f>
        <v>-4759.040000000001</v>
      </c>
    </row>
    <row r="5" spans="1:12" ht="15" outlineLevel="1">
      <c r="A5" s="6" t="s">
        <v>9</v>
      </c>
      <c r="B5" s="10">
        <v>-1700</v>
      </c>
      <c r="C5" s="17">
        <v>0.04</v>
      </c>
      <c r="D5" s="6"/>
      <c r="E5" s="6"/>
      <c r="F5" s="6"/>
      <c r="G5" s="6"/>
      <c r="H5" s="6" t="s">
        <v>9</v>
      </c>
      <c r="I5" s="12"/>
      <c r="J5" s="12">
        <f>$B5*B$10/1000</f>
        <v>-1700</v>
      </c>
      <c r="K5" s="12">
        <f>$B5*C$10*(1+C5)/1000</f>
        <v>-3359.2</v>
      </c>
      <c r="L5" s="12">
        <f>$B5*D$10*(1+C5)^2/1000</f>
        <v>-1470.9760000000003</v>
      </c>
    </row>
    <row r="6" spans="1:12" ht="15">
      <c r="A6" s="9" t="s">
        <v>10</v>
      </c>
      <c r="B6" s="12">
        <f>SUM(B3:B5)</f>
        <v>4800</v>
      </c>
      <c r="C6" s="6"/>
      <c r="D6" s="6"/>
      <c r="E6" s="6"/>
      <c r="F6" s="6"/>
      <c r="G6" s="6"/>
      <c r="H6" s="6" t="s">
        <v>11</v>
      </c>
      <c r="I6" s="12"/>
      <c r="J6" s="12">
        <f>SUM(J3:J5)</f>
        <v>4800</v>
      </c>
      <c r="K6" s="12">
        <f>SUM(K3:K5)</f>
        <v>9484.8</v>
      </c>
      <c r="L6" s="12">
        <f>SUM(L3:L5)</f>
        <v>4153.344000000001</v>
      </c>
    </row>
    <row r="7" spans="1:12" ht="15">
      <c r="A7" s="6"/>
      <c r="B7" s="6"/>
      <c r="C7" s="6"/>
      <c r="D7" s="6"/>
      <c r="E7" s="6"/>
      <c r="F7" s="5"/>
      <c r="G7" s="6"/>
      <c r="H7" s="6" t="s">
        <v>12</v>
      </c>
      <c r="I7" s="12"/>
      <c r="J7" s="12">
        <f>$F$20</f>
        <v>-3055</v>
      </c>
      <c r="K7" s="12">
        <f>$F$20*(1+G20)</f>
        <v>-3177.2000000000003</v>
      </c>
      <c r="L7" s="12">
        <f>$F$20*(1+G20)^2</f>
        <v>-3304.2880000000005</v>
      </c>
    </row>
    <row r="8" spans="1:12" ht="15">
      <c r="A8" s="9" t="s">
        <v>13</v>
      </c>
      <c r="B8" s="6"/>
      <c r="C8" s="7" t="s">
        <v>3</v>
      </c>
      <c r="D8" s="6"/>
      <c r="E8" s="6"/>
      <c r="F8" s="6"/>
      <c r="G8" s="6"/>
      <c r="H8" s="6" t="s">
        <v>14</v>
      </c>
      <c r="I8" s="12"/>
      <c r="J8" s="12"/>
      <c r="K8" s="12"/>
      <c r="L8" s="12"/>
    </row>
    <row r="9" spans="1:12" ht="15">
      <c r="A9" s="6"/>
      <c r="B9" s="5">
        <v>2011</v>
      </c>
      <c r="C9" s="6">
        <f>B9+1</f>
        <v>2012</v>
      </c>
      <c r="D9" s="6">
        <f>C9+1</f>
        <v>2013</v>
      </c>
      <c r="E9" s="6"/>
      <c r="F9" s="6"/>
      <c r="G9" s="6"/>
      <c r="H9" s="9" t="s">
        <v>15</v>
      </c>
      <c r="I9" s="12">
        <f>B33</f>
        <v>-1800</v>
      </c>
      <c r="J9" s="12">
        <f>C33</f>
        <v>-1756.8</v>
      </c>
      <c r="K9" s="12">
        <f>D33</f>
        <v>1999.2959999999998</v>
      </c>
      <c r="L9" s="12">
        <f>E33</f>
        <v>1557.5040000000001</v>
      </c>
    </row>
    <row r="10" spans="1:12" ht="15">
      <c r="A10" s="6" t="s">
        <v>16</v>
      </c>
      <c r="B10" s="10">
        <v>1000</v>
      </c>
      <c r="C10" s="10">
        <v>1900</v>
      </c>
      <c r="D10" s="10">
        <v>800</v>
      </c>
      <c r="E10" s="6"/>
      <c r="F10" s="6"/>
      <c r="G10" s="6"/>
      <c r="H10" s="9" t="s">
        <v>17</v>
      </c>
      <c r="I10" s="12">
        <f>B26</f>
        <v>-8800</v>
      </c>
      <c r="J10" s="12"/>
      <c r="K10" s="12"/>
      <c r="L10" s="12">
        <f>B27*(1+C27)^2</f>
        <v>3461.1200000000003</v>
      </c>
    </row>
    <row r="11" spans="1:12" ht="15.75" thickBot="1">
      <c r="A11" s="6"/>
      <c r="B11" s="6"/>
      <c r="C11" s="6"/>
      <c r="D11" s="6"/>
      <c r="E11" s="6"/>
      <c r="F11" s="6"/>
      <c r="G11" s="6"/>
      <c r="H11" s="33" t="s">
        <v>18</v>
      </c>
      <c r="I11" s="33">
        <f>SUM(I6:I10)</f>
        <v>-10600</v>
      </c>
      <c r="J11" s="33">
        <f>SUM(J6:J10)</f>
        <v>-11.799999999999955</v>
      </c>
      <c r="K11" s="33">
        <f>SUM(K6:K10)</f>
        <v>8306.895999999999</v>
      </c>
      <c r="L11" s="33">
        <f>SUM(L6:L10)</f>
        <v>5867.68</v>
      </c>
    </row>
    <row r="12" spans="1:12" ht="15.75" thickTop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>
      <c r="A13" s="9" t="s">
        <v>19</v>
      </c>
      <c r="B13" s="13" t="s">
        <v>20</v>
      </c>
      <c r="C13" s="13" t="s">
        <v>21</v>
      </c>
      <c r="D13" s="13" t="s">
        <v>22</v>
      </c>
      <c r="E13" s="13" t="s">
        <v>21</v>
      </c>
      <c r="F13" s="14" t="s">
        <v>23</v>
      </c>
      <c r="G13" s="6"/>
      <c r="H13" s="6"/>
      <c r="I13" s="6"/>
      <c r="J13" s="6"/>
      <c r="K13" s="6"/>
      <c r="L13" s="6"/>
    </row>
    <row r="14" spans="1:12" ht="15">
      <c r="A14" s="6" t="s">
        <v>24</v>
      </c>
      <c r="B14" s="10">
        <v>3</v>
      </c>
      <c r="C14" s="15" t="s">
        <v>25</v>
      </c>
      <c r="D14" s="10">
        <v>430000</v>
      </c>
      <c r="E14" s="15" t="s">
        <v>26</v>
      </c>
      <c r="F14" s="12">
        <f>-B14*D14/1000</f>
        <v>-1290</v>
      </c>
      <c r="G14" s="6"/>
      <c r="H14" s="6"/>
      <c r="I14" s="6"/>
      <c r="J14" s="6"/>
      <c r="K14" s="6"/>
      <c r="L14" s="6"/>
    </row>
    <row r="15" spans="1:12" ht="18">
      <c r="A15" s="6" t="s">
        <v>27</v>
      </c>
      <c r="B15" s="10">
        <v>450</v>
      </c>
      <c r="C15" s="16" t="s">
        <v>28</v>
      </c>
      <c r="D15" s="10">
        <v>1500</v>
      </c>
      <c r="E15" s="16" t="s">
        <v>29</v>
      </c>
      <c r="F15" s="12">
        <f>-B15*D15/1000</f>
        <v>-675</v>
      </c>
      <c r="G15" s="6"/>
      <c r="H15" s="6"/>
      <c r="I15" s="6"/>
      <c r="J15" s="6"/>
      <c r="K15" s="6"/>
      <c r="L15" s="6"/>
    </row>
    <row r="16" spans="1:12" ht="15">
      <c r="A16" s="6" t="s">
        <v>30</v>
      </c>
      <c r="B16" s="10">
        <v>170000</v>
      </c>
      <c r="C16" s="15" t="s">
        <v>31</v>
      </c>
      <c r="D16" s="10">
        <v>1</v>
      </c>
      <c r="E16" s="15" t="s">
        <v>32</v>
      </c>
      <c r="F16" s="12">
        <f>-B16*D16/1000</f>
        <v>-170</v>
      </c>
      <c r="G16" s="6"/>
      <c r="H16" s="6"/>
      <c r="I16" s="6"/>
      <c r="J16" s="6"/>
      <c r="K16" s="6"/>
      <c r="L16" s="6"/>
    </row>
    <row r="17" spans="1:12" ht="15">
      <c r="A17" s="6" t="s">
        <v>33</v>
      </c>
      <c r="B17" s="12"/>
      <c r="C17" s="12"/>
      <c r="D17" s="12"/>
      <c r="E17" s="12"/>
      <c r="F17" s="10">
        <v>-120</v>
      </c>
      <c r="G17" s="6"/>
      <c r="H17" s="6"/>
      <c r="I17" s="6"/>
      <c r="J17" s="6"/>
      <c r="K17" s="6"/>
      <c r="L17" s="6"/>
    </row>
    <row r="18" spans="1:12" ht="15">
      <c r="A18" s="6" t="s">
        <v>34</v>
      </c>
      <c r="B18" s="12"/>
      <c r="C18" s="12"/>
      <c r="D18" s="12"/>
      <c r="E18" s="12"/>
      <c r="F18" s="10">
        <v>-300</v>
      </c>
      <c r="G18" s="6"/>
      <c r="H18"/>
      <c r="I18"/>
      <c r="J18"/>
      <c r="K18"/>
      <c r="L18"/>
    </row>
    <row r="19" spans="1:12" ht="15">
      <c r="A19" s="6" t="s">
        <v>35</v>
      </c>
      <c r="B19" s="12"/>
      <c r="C19" s="12"/>
      <c r="D19" s="12"/>
      <c r="E19" s="12"/>
      <c r="F19" s="10">
        <v>-500</v>
      </c>
      <c r="G19" s="6"/>
      <c r="H19"/>
      <c r="I19" s="2"/>
      <c r="J19" s="2"/>
      <c r="K19" s="2"/>
      <c r="L19" s="2"/>
    </row>
    <row r="20" spans="1:12" ht="15">
      <c r="A20" s="6" t="s">
        <v>36</v>
      </c>
      <c r="B20" s="12"/>
      <c r="C20" s="12"/>
      <c r="D20" s="12"/>
      <c r="E20" s="12"/>
      <c r="F20" s="12">
        <f>SUM(F14:F19)</f>
        <v>-3055</v>
      </c>
      <c r="G20" s="17">
        <v>0.04</v>
      </c>
      <c r="H20"/>
      <c r="I20" s="2"/>
      <c r="K20" s="2"/>
      <c r="L20" s="2"/>
    </row>
    <row r="21" spans="1:12" ht="15">
      <c r="A21" s="6"/>
      <c r="B21" s="6"/>
      <c r="C21" s="6"/>
      <c r="D21" s="6"/>
      <c r="E21" s="6"/>
      <c r="F21" s="6"/>
      <c r="G21" s="6"/>
      <c r="H21"/>
      <c r="I21" s="2"/>
      <c r="J21" s="2"/>
      <c r="K21" s="2"/>
      <c r="L21" s="2"/>
    </row>
    <row r="22" spans="1:12" ht="15">
      <c r="A22" s="9" t="s">
        <v>37</v>
      </c>
      <c r="B22" s="9"/>
      <c r="C22" s="6"/>
      <c r="D22" s="6"/>
      <c r="E22" s="6"/>
      <c r="F22" s="6"/>
      <c r="G22" s="6"/>
      <c r="H22"/>
      <c r="I22" s="5"/>
      <c r="J22" s="2"/>
      <c r="K22" s="2"/>
      <c r="L22" s="2"/>
    </row>
    <row r="23" spans="1:12" ht="15">
      <c r="A23" s="6" t="s">
        <v>38</v>
      </c>
      <c r="B23" s="10">
        <v>-6000</v>
      </c>
      <c r="C23" s="6"/>
      <c r="D23" s="6"/>
      <c r="E23" s="6"/>
      <c r="F23" s="6"/>
      <c r="G23" s="6"/>
      <c r="H23"/>
      <c r="I23" s="2"/>
      <c r="J23" s="2"/>
      <c r="K23" s="2"/>
      <c r="L23" s="2"/>
    </row>
    <row r="24" spans="1:12" ht="15">
      <c r="A24" s="6" t="s">
        <v>39</v>
      </c>
      <c r="B24" s="10">
        <v>-1000</v>
      </c>
      <c r="C24" s="6"/>
      <c r="D24" s="6"/>
      <c r="E24" s="6"/>
      <c r="F24" s="6"/>
      <c r="G24" s="6"/>
      <c r="H24"/>
      <c r="I24" s="2"/>
      <c r="J24" s="2"/>
      <c r="K24" s="2"/>
      <c r="L24" s="2"/>
    </row>
    <row r="25" spans="1:12" ht="15">
      <c r="A25" s="9" t="s">
        <v>35</v>
      </c>
      <c r="B25" s="10">
        <v>-1800</v>
      </c>
      <c r="C25" s="6"/>
      <c r="D25" s="6" t="s">
        <v>2</v>
      </c>
      <c r="F25" s="17">
        <v>0.15</v>
      </c>
      <c r="G25" s="6"/>
      <c r="H25" s="1"/>
      <c r="I25" s="2"/>
      <c r="J25" s="2"/>
      <c r="K25" s="2"/>
      <c r="L25" s="2"/>
    </row>
    <row r="26" spans="1:12" ht="15">
      <c r="A26" s="9" t="s">
        <v>40</v>
      </c>
      <c r="B26" s="12">
        <f>SUM(B23:B25)</f>
        <v>-8800</v>
      </c>
      <c r="C26" s="6"/>
      <c r="D26" s="6"/>
      <c r="E26" s="6"/>
      <c r="F26" s="6"/>
      <c r="G26" s="6"/>
      <c r="H26" s="1"/>
      <c r="I26" s="2"/>
      <c r="J26" s="2"/>
      <c r="K26" s="2"/>
      <c r="L26" s="2"/>
    </row>
    <row r="27" spans="1:12" ht="15">
      <c r="A27" s="6" t="s">
        <v>41</v>
      </c>
      <c r="B27" s="10">
        <v>3200</v>
      </c>
      <c r="C27" s="17">
        <v>0.04</v>
      </c>
      <c r="D27" s="6"/>
      <c r="E27" s="6"/>
      <c r="F27" s="6"/>
      <c r="G27" s="6"/>
      <c r="H27"/>
      <c r="I27" s="2"/>
      <c r="J27" s="2"/>
      <c r="K27" s="2"/>
      <c r="L27" s="2"/>
    </row>
    <row r="28" spans="1:12" ht="1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>
      <c r="A29" s="6"/>
      <c r="B29" s="36" t="s">
        <v>3</v>
      </c>
      <c r="C29" s="36"/>
      <c r="D29" s="36"/>
      <c r="E29" s="36"/>
      <c r="F29" s="6"/>
      <c r="G29" s="6"/>
      <c r="H29" s="6"/>
      <c r="I29" s="6"/>
      <c r="J29" s="6"/>
      <c r="K29" s="6"/>
      <c r="L29" s="6"/>
    </row>
    <row r="30" spans="1:12" ht="15">
      <c r="A30" s="35" t="s">
        <v>42</v>
      </c>
      <c r="B30" s="35">
        <f>B9-1</f>
        <v>2010</v>
      </c>
      <c r="C30" s="35">
        <f>B30+1</f>
        <v>2011</v>
      </c>
      <c r="D30" s="35">
        <f>C30+1</f>
        <v>2012</v>
      </c>
      <c r="E30" s="35">
        <f>D30+1</f>
        <v>2013</v>
      </c>
      <c r="F30" s="6"/>
      <c r="G30" s="6"/>
      <c r="H30" s="6"/>
      <c r="I30" s="6"/>
      <c r="J30" s="6"/>
      <c r="K30" s="6"/>
      <c r="L30" s="6"/>
    </row>
    <row r="31" spans="1:12" ht="15">
      <c r="A31" s="6" t="s">
        <v>1</v>
      </c>
      <c r="B31" s="12"/>
      <c r="C31" s="12">
        <f>$B$3*B10/1000</f>
        <v>12000</v>
      </c>
      <c r="D31" s="12">
        <f>B3*(1+C3)*C10/1000</f>
        <v>23712</v>
      </c>
      <c r="E31" s="12">
        <f>B3*(1+C3)^2*D10/1000</f>
        <v>10383.36</v>
      </c>
      <c r="F31" s="6"/>
      <c r="G31" s="6"/>
      <c r="H31" s="6"/>
      <c r="I31" s="6"/>
      <c r="J31" s="6"/>
      <c r="K31" s="6"/>
      <c r="L31" s="6"/>
    </row>
    <row r="32" spans="1:12" ht="15">
      <c r="A32" s="6" t="s">
        <v>43</v>
      </c>
      <c r="B32" s="12">
        <f>C31*$F$25</f>
        <v>1800</v>
      </c>
      <c r="C32" s="12">
        <f>D31*$F$25</f>
        <v>3556.7999999999997</v>
      </c>
      <c r="D32" s="12">
        <f>E31*$F$25</f>
        <v>1557.5040000000001</v>
      </c>
      <c r="E32" s="12">
        <f>F31*$F$25</f>
        <v>0</v>
      </c>
      <c r="F32" s="6"/>
      <c r="G32" s="6"/>
      <c r="H32" s="6"/>
      <c r="I32" s="6"/>
      <c r="J32" s="6"/>
      <c r="K32" s="6"/>
      <c r="L32" s="6"/>
    </row>
    <row r="33" spans="1:12" ht="15">
      <c r="A33" s="9" t="s">
        <v>44</v>
      </c>
      <c r="B33" s="12">
        <f>(B31-C31)*$F$25</f>
        <v>-1800</v>
      </c>
      <c r="C33" s="12">
        <f>(C31-D31)*$F$25</f>
        <v>-1756.8</v>
      </c>
      <c r="D33" s="12">
        <f>(D31-E31)*$F$25</f>
        <v>1999.2959999999998</v>
      </c>
      <c r="E33" s="12">
        <f>(E31-F31)*$F$25</f>
        <v>1557.5040000000001</v>
      </c>
      <c r="F33" s="6"/>
      <c r="G33" s="6"/>
      <c r="H33" s="6"/>
      <c r="I33" s="6"/>
      <c r="J33" s="6"/>
      <c r="K33" s="6"/>
      <c r="L33" s="6"/>
    </row>
    <row r="52" spans="9:11" ht="12.75">
      <c r="I52" s="18"/>
      <c r="K52" s="19" t="str">
        <f>I1</f>
        <v>År</v>
      </c>
    </row>
    <row r="53" spans="9:12" ht="12.75">
      <c r="I53" s="8">
        <f>I2</f>
        <v>2010</v>
      </c>
      <c r="J53" s="8">
        <f>J2</f>
        <v>2011</v>
      </c>
      <c r="K53" s="8">
        <f>K2</f>
        <v>2012</v>
      </c>
      <c r="L53" s="8">
        <f>L2</f>
        <v>2013</v>
      </c>
    </row>
    <row r="54" spans="8:12" ht="12.75">
      <c r="H54" s="8" t="str">
        <f>H6</f>
        <v>Dekningsbidrag</v>
      </c>
      <c r="I54" s="20"/>
      <c r="J54" s="20">
        <f aca="true" t="shared" si="0" ref="J54:L55">J6</f>
        <v>4800</v>
      </c>
      <c r="K54" s="20">
        <f t="shared" si="0"/>
        <v>9484.8</v>
      </c>
      <c r="L54" s="20">
        <f t="shared" si="0"/>
        <v>4153.344000000001</v>
      </c>
    </row>
    <row r="55" spans="8:12" ht="12.75">
      <c r="H55" s="8" t="str">
        <f>H7</f>
        <v>Faste utbetalinger</v>
      </c>
      <c r="I55" s="20"/>
      <c r="J55" s="20">
        <f t="shared" si="0"/>
        <v>-3055</v>
      </c>
      <c r="K55" s="20">
        <f t="shared" si="0"/>
        <v>-3177.2000000000003</v>
      </c>
      <c r="L55" s="20">
        <f t="shared" si="0"/>
        <v>-3304.2880000000005</v>
      </c>
    </row>
    <row r="56" spans="8:12" ht="12.75">
      <c r="H56" s="21" t="str">
        <f>H9</f>
        <v>     Arbeidskapital</v>
      </c>
      <c r="I56" s="20">
        <f>I9</f>
        <v>-1800</v>
      </c>
      <c r="J56" s="20">
        <f>J9</f>
        <v>-1756.8</v>
      </c>
      <c r="K56" s="20">
        <f>K9</f>
        <v>1999.2959999999998</v>
      </c>
      <c r="L56" s="20">
        <f>L9</f>
        <v>1557.5040000000001</v>
      </c>
    </row>
    <row r="57" spans="8:12" ht="12.75">
      <c r="H57" s="21" t="str">
        <f>H10</f>
        <v>     Anleggskapital/restverdi</v>
      </c>
      <c r="I57" s="20">
        <f>I10</f>
        <v>-8800</v>
      </c>
      <c r="J57" s="20"/>
      <c r="K57" s="20"/>
      <c r="L57" s="20">
        <f>L10</f>
        <v>3461.1200000000003</v>
      </c>
    </row>
    <row r="58" spans="8:12" ht="12.75">
      <c r="H58" s="8" t="str">
        <f>H11</f>
        <v>Kontantstrøm</v>
      </c>
      <c r="I58" s="20">
        <f>I11</f>
        <v>-10600</v>
      </c>
      <c r="J58" s="20">
        <f>J11</f>
        <v>-11.799999999999955</v>
      </c>
      <c r="K58" s="20">
        <f>K11</f>
        <v>8306.895999999999</v>
      </c>
      <c r="L58" s="20">
        <f>L11</f>
        <v>5867.68</v>
      </c>
    </row>
    <row r="60" ht="12.75">
      <c r="K60" s="22" t="s">
        <v>3</v>
      </c>
    </row>
    <row r="61" spans="9:12" ht="12.75">
      <c r="I61" s="8">
        <f>I2</f>
        <v>2010</v>
      </c>
      <c r="J61" s="8">
        <f>J2</f>
        <v>2011</v>
      </c>
      <c r="K61" s="8">
        <f>K2</f>
        <v>2012</v>
      </c>
      <c r="L61" s="8">
        <f>L2</f>
        <v>2013</v>
      </c>
    </row>
    <row r="62" spans="8:12" ht="12.75">
      <c r="H62" s="8" t="s">
        <v>1</v>
      </c>
      <c r="I62" s="20"/>
      <c r="J62" s="20">
        <f>$B$3*(1+$C$3)^(J2-2011)*B10/1000</f>
        <v>12000</v>
      </c>
      <c r="K62" s="20">
        <f>$B$3*(1+$C$3)^(K2-2011)*C10/1000</f>
        <v>23712</v>
      </c>
      <c r="L62" s="20">
        <f>$B$3*(1+$C$3)^(L2-2011)*D10/1000</f>
        <v>10383.36</v>
      </c>
    </row>
    <row r="63" spans="8:12" ht="12.75">
      <c r="H63" s="8" t="s">
        <v>8</v>
      </c>
      <c r="I63" s="20"/>
      <c r="J63" s="20">
        <f>$B$4*(1+$C$4)^(J2-2011)*B10/1000</f>
        <v>-5500</v>
      </c>
      <c r="K63" s="20">
        <f>$B$4*(1+$C$4)^(K2-2011)*C10/1000</f>
        <v>-10868</v>
      </c>
      <c r="L63" s="20">
        <f>$B$4*(1+$C$4)^(L2-2011)*D10/1000</f>
        <v>-4759.040000000001</v>
      </c>
    </row>
    <row r="64" spans="8:12" ht="12.75">
      <c r="H64" s="8" t="s">
        <v>9</v>
      </c>
      <c r="I64" s="20"/>
      <c r="J64" s="20">
        <f>$B$5*(1+$C$5)^(J2-2011)*B10/1000</f>
        <v>-1700</v>
      </c>
      <c r="K64" s="20">
        <f>$B$5*(1+$C$5)^(K2-2011)*C10/1000</f>
        <v>-3359.2</v>
      </c>
      <c r="L64" s="20">
        <f>$B$5*(1+$C$5)^(L2-2011)*D10/1000</f>
        <v>-1470.9760000000003</v>
      </c>
    </row>
    <row r="65" spans="8:12" ht="12.75">
      <c r="H65" s="8" t="s">
        <v>11</v>
      </c>
      <c r="I65" s="20"/>
      <c r="J65" s="20">
        <f>SUM(J62:J64)</f>
        <v>4800</v>
      </c>
      <c r="K65" s="20">
        <f>SUM(K62:K64)</f>
        <v>9484.8</v>
      </c>
      <c r="L65" s="20">
        <f>SUM(L62:L64)</f>
        <v>4153.343999999999</v>
      </c>
    </row>
    <row r="66" spans="8:12" ht="12.75">
      <c r="H66" s="8" t="s">
        <v>12</v>
      </c>
      <c r="I66" s="20"/>
      <c r="J66" s="20">
        <f>F20</f>
        <v>-3055</v>
      </c>
      <c r="K66" s="20">
        <f>J66*(1+$G$20)</f>
        <v>-3177.2000000000003</v>
      </c>
      <c r="L66" s="20">
        <f>K66*(1+$G$20)</f>
        <v>-3304.2880000000005</v>
      </c>
    </row>
    <row r="67" spans="8:12" ht="12.75">
      <c r="H67" s="8" t="s">
        <v>14</v>
      </c>
      <c r="I67" s="20"/>
      <c r="J67" s="20"/>
      <c r="K67" s="20"/>
      <c r="L67" s="20"/>
    </row>
    <row r="68" spans="8:12" ht="12.75">
      <c r="H68" s="21" t="str">
        <f>H9</f>
        <v>     Arbeidskapital</v>
      </c>
      <c r="I68" s="20">
        <f>B33</f>
        <v>-1800</v>
      </c>
      <c r="J68" s="20">
        <f>C33</f>
        <v>-1756.8</v>
      </c>
      <c r="K68" s="20">
        <f>D33</f>
        <v>1999.2959999999998</v>
      </c>
      <c r="L68" s="20">
        <f>E33</f>
        <v>1557.5040000000001</v>
      </c>
    </row>
    <row r="69" spans="8:12" ht="12.75">
      <c r="H69" s="21" t="str">
        <f>H10</f>
        <v>     Anleggskapital/restverdi</v>
      </c>
      <c r="I69" s="20">
        <f>B26</f>
        <v>-8800</v>
      </c>
      <c r="J69" s="20"/>
      <c r="K69" s="20"/>
      <c r="L69" s="20">
        <f>B27*(1+C27)^2</f>
        <v>3461.1200000000003</v>
      </c>
    </row>
    <row r="70" spans="8:12" ht="12.75">
      <c r="H70" s="8" t="s">
        <v>18</v>
      </c>
      <c r="I70" s="20">
        <f>SUM(I65:I69)</f>
        <v>-10600</v>
      </c>
      <c r="J70" s="20">
        <f>SUM(J65:J69)</f>
        <v>-11.799999999999955</v>
      </c>
      <c r="K70" s="20">
        <f>SUM(K65:K69)</f>
        <v>8306.895999999999</v>
      </c>
      <c r="L70" s="20">
        <f>SUM(L65:L69)</f>
        <v>5867.6799999999985</v>
      </c>
    </row>
    <row r="72" spans="8:9" ht="12.75">
      <c r="H72" s="8" t="s">
        <v>45</v>
      </c>
      <c r="I72" s="18">
        <f>IRR(I70:L70)</f>
        <v>0.12828589724370254</v>
      </c>
    </row>
    <row r="75" ht="12.75">
      <c r="H75" s="23"/>
    </row>
    <row r="76" ht="12.75">
      <c r="H76" s="21"/>
    </row>
    <row r="77" ht="12.75">
      <c r="H77" s="21"/>
    </row>
  </sheetData>
  <sheetProtection/>
  <mergeCells count="2">
    <mergeCell ref="I1:L1"/>
    <mergeCell ref="B29:E29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20.7109375" style="8" customWidth="1"/>
    <col min="2" max="2" width="9.421875" style="8" bestFit="1" customWidth="1"/>
    <col min="3" max="3" width="11.8515625" style="8" bestFit="1" customWidth="1"/>
    <col min="4" max="5" width="10.140625" style="8" bestFit="1" customWidth="1"/>
    <col min="6" max="16384" width="9.140625" style="8" customWidth="1"/>
  </cols>
  <sheetData>
    <row r="1" spans="1:5" ht="51" customHeight="1">
      <c r="A1" s="6" t="s">
        <v>0</v>
      </c>
      <c r="B1" s="6"/>
      <c r="C1" s="6"/>
      <c r="D1" s="6"/>
      <c r="E1" s="6"/>
    </row>
    <row r="2" spans="1:5" ht="15">
      <c r="A2" s="6" t="s">
        <v>46</v>
      </c>
      <c r="B2" s="10">
        <v>6000</v>
      </c>
      <c r="C2" s="9" t="s">
        <v>47</v>
      </c>
      <c r="D2" s="6"/>
      <c r="E2" s="6"/>
    </row>
    <row r="3" spans="1:5" ht="15">
      <c r="A3" s="6" t="s">
        <v>48</v>
      </c>
      <c r="B3" s="25">
        <v>0.06</v>
      </c>
      <c r="C3" s="6" t="s">
        <v>49</v>
      </c>
      <c r="D3" s="6"/>
      <c r="E3" s="6"/>
    </row>
    <row r="4" spans="1:5" ht="15">
      <c r="A4" s="6" t="s">
        <v>50</v>
      </c>
      <c r="B4" s="5">
        <v>3</v>
      </c>
      <c r="C4" s="6" t="s">
        <v>51</v>
      </c>
      <c r="D4" s="6"/>
      <c r="E4" s="6"/>
    </row>
    <row r="5" spans="1:5" ht="15">
      <c r="A5" s="6" t="s">
        <v>57</v>
      </c>
      <c r="B5" s="6">
        <v>1</v>
      </c>
      <c r="C5" s="6"/>
      <c r="D5" s="6"/>
      <c r="E5" s="6"/>
    </row>
    <row r="6" spans="1:5" ht="15">
      <c r="A6" s="6"/>
      <c r="B6" s="36" t="s">
        <v>3</v>
      </c>
      <c r="C6" s="36"/>
      <c r="D6" s="36"/>
      <c r="E6" s="36"/>
    </row>
    <row r="7" spans="1:5" ht="15">
      <c r="A7" s="35" t="s">
        <v>55</v>
      </c>
      <c r="B7" s="34">
        <v>2010</v>
      </c>
      <c r="C7" s="34">
        <f>B7+1</f>
        <v>2011</v>
      </c>
      <c r="D7" s="34">
        <f>C7+1</f>
        <v>2012</v>
      </c>
      <c r="E7" s="34">
        <f>D7+1</f>
        <v>2013</v>
      </c>
    </row>
    <row r="8" spans="1:5" ht="15">
      <c r="A8" s="6" t="str">
        <f>A2</f>
        <v>Lånebeløp</v>
      </c>
      <c r="B8" s="12">
        <f>B2</f>
        <v>6000</v>
      </c>
      <c r="C8" s="12"/>
      <c r="D8" s="12"/>
      <c r="E8" s="12"/>
    </row>
    <row r="9" spans="1:5" ht="15">
      <c r="A9" s="6" t="s">
        <v>52</v>
      </c>
      <c r="B9" s="12"/>
      <c r="C9" s="12">
        <f>-$B$2/$B$4</f>
        <v>-2000</v>
      </c>
      <c r="D9" s="12">
        <f>-$B$2/$B$4</f>
        <v>-2000</v>
      </c>
      <c r="E9" s="12">
        <f>-$B$2/$B$4</f>
        <v>-2000</v>
      </c>
    </row>
    <row r="10" spans="1:5" ht="15">
      <c r="A10" s="6" t="s">
        <v>53</v>
      </c>
      <c r="B10" s="12">
        <f>B8</f>
        <v>6000</v>
      </c>
      <c r="C10" s="12">
        <f>B10+C9</f>
        <v>4000</v>
      </c>
      <c r="D10" s="12">
        <f>C10+D9</f>
        <v>2000</v>
      </c>
      <c r="E10" s="12">
        <f>D10+E9</f>
        <v>0</v>
      </c>
    </row>
    <row r="11" spans="1:5" ht="15">
      <c r="A11" s="6" t="s">
        <v>54</v>
      </c>
      <c r="B11" s="12"/>
      <c r="C11" s="12">
        <f>-B10*$B$3</f>
        <v>-360</v>
      </c>
      <c r="D11" s="12">
        <f>-C10*$B$3</f>
        <v>-240</v>
      </c>
      <c r="E11" s="12">
        <f>-D10*$B$3</f>
        <v>-120</v>
      </c>
    </row>
    <row r="12" spans="1:5" ht="15.75" thickBot="1">
      <c r="A12" s="33" t="s">
        <v>18</v>
      </c>
      <c r="B12" s="33">
        <f>B8+B9+B11</f>
        <v>6000</v>
      </c>
      <c r="C12" s="33">
        <f>C8+C9+C11</f>
        <v>-2360</v>
      </c>
      <c r="D12" s="33">
        <f>D8+D9+D11</f>
        <v>-2240</v>
      </c>
      <c r="E12" s="33">
        <f>E8+E9+E11</f>
        <v>-2120</v>
      </c>
    </row>
    <row r="13" ht="13.5" thickTop="1"/>
    <row r="14" spans="1:5" ht="12.75">
      <c r="A14"/>
      <c r="B14"/>
      <c r="C14"/>
      <c r="D14"/>
      <c r="E14"/>
    </row>
    <row r="15" spans="1:5" ht="15">
      <c r="A15" s="6"/>
      <c r="B15" s="36" t="s">
        <v>3</v>
      </c>
      <c r="C15" s="36"/>
      <c r="D15" s="36"/>
      <c r="E15" s="36"/>
    </row>
    <row r="16" spans="1:5" ht="15">
      <c r="A16" s="35" t="s">
        <v>56</v>
      </c>
      <c r="B16" s="34">
        <f>B7</f>
        <v>2010</v>
      </c>
      <c r="C16" s="34">
        <f>B16+1</f>
        <v>2011</v>
      </c>
      <c r="D16" s="34">
        <f>C16+1</f>
        <v>2012</v>
      </c>
      <c r="E16" s="34">
        <f>D16+1</f>
        <v>2013</v>
      </c>
    </row>
    <row r="17" spans="1:5" ht="15">
      <c r="A17" s="6" t="str">
        <f>A2</f>
        <v>Lånebeløp</v>
      </c>
      <c r="B17" s="12">
        <f>B2</f>
        <v>6000</v>
      </c>
      <c r="C17" s="6"/>
      <c r="D17" s="6"/>
      <c r="E17" s="6"/>
    </row>
    <row r="18" spans="1:5" ht="15">
      <c r="A18" s="6" t="str">
        <f>A9</f>
        <v>Avdrag</v>
      </c>
      <c r="B18" s="6"/>
      <c r="C18" s="28">
        <f>C21-C20</f>
        <v>-1884.6588767433063</v>
      </c>
      <c r="D18" s="28">
        <f>D21-D20</f>
        <v>-1997.7384093479047</v>
      </c>
      <c r="E18" s="28">
        <f>E21-E20</f>
        <v>-2117.602713908779</v>
      </c>
    </row>
    <row r="19" spans="1:5" ht="15">
      <c r="A19" s="6" t="str">
        <f>A10</f>
        <v>Restgjeld</v>
      </c>
      <c r="B19" s="6">
        <f>B17</f>
        <v>6000</v>
      </c>
      <c r="C19" s="28">
        <f>B19+C18</f>
        <v>4115.341123256694</v>
      </c>
      <c r="D19" s="28">
        <f>C19+D18</f>
        <v>2117.602713908789</v>
      </c>
      <c r="E19" s="28">
        <f>D19+E18</f>
        <v>1.000444171950221E-11</v>
      </c>
    </row>
    <row r="20" spans="1:5" ht="15">
      <c r="A20" s="6" t="s">
        <v>54</v>
      </c>
      <c r="B20" s="6"/>
      <c r="C20" s="29">
        <f>-B19*$B$3</f>
        <v>-360</v>
      </c>
      <c r="D20" s="29">
        <f>-C19*$B$3</f>
        <v>-246.92046739540163</v>
      </c>
      <c r="E20" s="29">
        <f>-D19*$B$3</f>
        <v>-127.05616283452734</v>
      </c>
    </row>
    <row r="21" spans="1:5" ht="15.75" thickBot="1">
      <c r="A21" s="33" t="s">
        <v>18</v>
      </c>
      <c r="B21" s="33">
        <f>B17</f>
        <v>6000</v>
      </c>
      <c r="C21" s="33">
        <f>PMT(B3,B4,B21)</f>
        <v>-2244.6588767433063</v>
      </c>
      <c r="D21" s="33">
        <f>C21</f>
        <v>-2244.6588767433063</v>
      </c>
      <c r="E21" s="33">
        <f>D21</f>
        <v>-2244.6588767433063</v>
      </c>
    </row>
    <row r="22" ht="13.5" thickTop="1"/>
    <row r="23" spans="1:5" ht="15" hidden="1" outlineLevel="1">
      <c r="A23" s="6" t="str">
        <f>A21</f>
        <v>Kontantstrøm</v>
      </c>
      <c r="B23" s="29">
        <f>IF($B$5=1,B12,B21)</f>
        <v>6000</v>
      </c>
      <c r="C23" s="29">
        <f>IF($B$5=1,C12,C21)</f>
        <v>-2360</v>
      </c>
      <c r="D23" s="29">
        <f>IF($B$5=1,D12,D21)</f>
        <v>-2240</v>
      </c>
      <c r="E23" s="29">
        <f>IF($B$5=1,E12,E21)</f>
        <v>-2120</v>
      </c>
    </row>
    <row r="24" spans="1:5" ht="15" hidden="1" outlineLevel="1">
      <c r="A24" s="6" t="s">
        <v>54</v>
      </c>
      <c r="B24" s="29"/>
      <c r="C24" s="29">
        <f>IF($B$5=1,C11,C20)</f>
        <v>-360</v>
      </c>
      <c r="D24" s="29">
        <f>IF($B$5=1,D11,D20)</f>
        <v>-240</v>
      </c>
      <c r="E24" s="29">
        <f>IF($B$5=1,E11,E20)</f>
        <v>-120</v>
      </c>
    </row>
    <row r="25" spans="1:5" ht="15" hidden="1" outlineLevel="1">
      <c r="A25" s="6" t="s">
        <v>52</v>
      </c>
      <c r="B25" s="29"/>
      <c r="C25" s="29">
        <f>IF($B$5=1,C9,C18)</f>
        <v>-2000</v>
      </c>
      <c r="D25" s="29">
        <f>IF($B$5=1,D9,D18)</f>
        <v>-2000</v>
      </c>
      <c r="E25" s="29">
        <f>IF($B$5=1,E9,E18)</f>
        <v>-2000</v>
      </c>
    </row>
    <row r="26" ht="12.75" collapsed="1"/>
  </sheetData>
  <sheetProtection/>
  <mergeCells count="2">
    <mergeCell ref="B6:E6"/>
    <mergeCell ref="B15:E1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3.57421875" style="0" customWidth="1"/>
    <col min="2" max="2" width="9.7109375" style="0" customWidth="1"/>
  </cols>
  <sheetData>
    <row r="1" ht="49.5" customHeight="1">
      <c r="A1" s="27" t="s">
        <v>0</v>
      </c>
    </row>
    <row r="2" spans="1:2" ht="12.75">
      <c r="A2" s="27" t="s">
        <v>58</v>
      </c>
      <c r="B2" s="26">
        <v>0.2</v>
      </c>
    </row>
    <row r="3" spans="2:5" ht="12.75">
      <c r="B3" s="38" t="s">
        <v>3</v>
      </c>
      <c r="C3" s="38"/>
      <c r="D3" s="38"/>
      <c r="E3" s="38"/>
    </row>
    <row r="4" spans="1:5" ht="15">
      <c r="A4" s="34"/>
      <c r="B4" s="34">
        <f>'Pris og volum'!I2</f>
        <v>2010</v>
      </c>
      <c r="C4" s="34">
        <f>'Pris og volum'!J2</f>
        <v>2011</v>
      </c>
      <c r="D4" s="34">
        <f>'Pris og volum'!K2</f>
        <v>2012</v>
      </c>
      <c r="E4" s="34">
        <f>'Pris og volum'!L2</f>
        <v>2013</v>
      </c>
    </row>
    <row r="5" spans="1:5" ht="12.75">
      <c r="A5" t="s">
        <v>63</v>
      </c>
      <c r="C5" s="3">
        <f>'Pris og volum'!B26</f>
        <v>-8800</v>
      </c>
      <c r="D5" s="30">
        <f>C5-C6</f>
        <v>-7040</v>
      </c>
      <c r="E5" s="30">
        <f>D5-D6</f>
        <v>-5632</v>
      </c>
    </row>
    <row r="6" spans="1:6" ht="12.75">
      <c r="A6" s="27" t="s">
        <v>64</v>
      </c>
      <c r="C6" s="2">
        <f>C5*$B$2</f>
        <v>-1760</v>
      </c>
      <c r="D6" s="30">
        <f>D5*$B$2</f>
        <v>-1408</v>
      </c>
      <c r="E6" s="30">
        <f>E5*$B$2</f>
        <v>-1126.4</v>
      </c>
      <c r="F6" s="2">
        <f>SUM(C6:E6)</f>
        <v>-4294.4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25.421875" style="0" customWidth="1"/>
    <col min="2" max="2" width="11.140625" style="0" bestFit="1" customWidth="1"/>
    <col min="3" max="3" width="10.421875" style="0" bestFit="1" customWidth="1"/>
    <col min="4" max="4" width="11.140625" style="0" bestFit="1" customWidth="1"/>
    <col min="5" max="5" width="10.421875" style="0" bestFit="1" customWidth="1"/>
    <col min="6" max="6" width="5.00390625" style="0" customWidth="1"/>
    <col min="7" max="7" width="24.28125" style="0" customWidth="1"/>
    <col min="8" max="8" width="11.140625" style="0" bestFit="1" customWidth="1"/>
    <col min="9" max="9" width="10.421875" style="0" bestFit="1" customWidth="1"/>
    <col min="10" max="10" width="11.140625" style="0" bestFit="1" customWidth="1"/>
    <col min="11" max="11" width="10.421875" style="0" bestFit="1" customWidth="1"/>
  </cols>
  <sheetData>
    <row r="1" spans="1:11" ht="15">
      <c r="A1" s="4"/>
      <c r="B1" s="37" t="str">
        <f>'Tabell 2.11'!B2:E2</f>
        <v>År</v>
      </c>
      <c r="C1" s="37"/>
      <c r="D1" s="37"/>
      <c r="E1" s="37"/>
      <c r="H1" s="39" t="s">
        <v>3</v>
      </c>
      <c r="I1" s="39"/>
      <c r="J1" s="39"/>
      <c r="K1" s="39"/>
    </row>
    <row r="2" spans="1:11" ht="15">
      <c r="A2" s="34"/>
      <c r="B2" s="34">
        <f>Avskrivninger!B4</f>
        <v>2010</v>
      </c>
      <c r="C2" s="34">
        <f>Avskrivninger!C4</f>
        <v>2011</v>
      </c>
      <c r="D2" s="34">
        <f>Avskrivninger!D4</f>
        <v>2012</v>
      </c>
      <c r="E2" s="34">
        <f>Avskrivninger!E4</f>
        <v>2013</v>
      </c>
      <c r="G2" s="34"/>
      <c r="H2" s="34">
        <f>B2</f>
        <v>2010</v>
      </c>
      <c r="I2" s="34">
        <f>C2</f>
        <v>2011</v>
      </c>
      <c r="J2" s="34">
        <f>D2</f>
        <v>2012</v>
      </c>
      <c r="K2" s="34">
        <f>E2</f>
        <v>2013</v>
      </c>
    </row>
    <row r="3" spans="1:11" ht="15">
      <c r="A3" s="4" t="str">
        <f>'Pris og volum'!H3</f>
        <v>Omsetning</v>
      </c>
      <c r="B3" s="29"/>
      <c r="C3" s="29">
        <f>'Pris og volum'!J3</f>
        <v>12000</v>
      </c>
      <c r="D3" s="29">
        <f>'Pris og volum'!K3</f>
        <v>23712</v>
      </c>
      <c r="E3" s="29">
        <f>'Pris og volum'!L3</f>
        <v>10383.360000000002</v>
      </c>
      <c r="G3" s="29" t="str">
        <f>A3</f>
        <v>Omsetning</v>
      </c>
      <c r="H3" s="29"/>
      <c r="I3" s="29">
        <f>C3</f>
        <v>12000</v>
      </c>
      <c r="J3" s="29">
        <f>D3</f>
        <v>23712</v>
      </c>
      <c r="K3" s="29">
        <f>E3</f>
        <v>10383.360000000002</v>
      </c>
    </row>
    <row r="4" spans="1:11" ht="15">
      <c r="A4" s="4" t="str">
        <f>'Pris og volum'!H4</f>
        <v>Råmaterialer</v>
      </c>
      <c r="B4" s="29"/>
      <c r="C4" s="29">
        <f>'Pris og volum'!J4</f>
        <v>-5500</v>
      </c>
      <c r="D4" s="29">
        <f>'Pris og volum'!K4</f>
        <v>-10868</v>
      </c>
      <c r="E4" s="29">
        <f>'Pris og volum'!L4</f>
        <v>-4759.040000000001</v>
      </c>
      <c r="G4" s="29" t="str">
        <f aca="true" t="shared" si="0" ref="G4:G11">A4</f>
        <v>Råmaterialer</v>
      </c>
      <c r="H4" s="29"/>
      <c r="I4" s="29">
        <f aca="true" t="shared" si="1" ref="I4:I11">C4</f>
        <v>-5500</v>
      </c>
      <c r="J4" s="29">
        <f aca="true" t="shared" si="2" ref="J4:J11">D4</f>
        <v>-10868</v>
      </c>
      <c r="K4" s="29">
        <f aca="true" t="shared" si="3" ref="K4:K11">E4</f>
        <v>-4759.040000000001</v>
      </c>
    </row>
    <row r="5" spans="1:11" ht="15">
      <c r="A5" s="4" t="str">
        <f>'Pris og volum'!H5</f>
        <v>Produksjonslønn</v>
      </c>
      <c r="B5" s="29"/>
      <c r="C5" s="29">
        <f>'Pris og volum'!J5</f>
        <v>-1700</v>
      </c>
      <c r="D5" s="29">
        <f>'Pris og volum'!K5</f>
        <v>-3359.2</v>
      </c>
      <c r="E5" s="29">
        <f>'Pris og volum'!L5</f>
        <v>-1470.9760000000003</v>
      </c>
      <c r="G5" s="29" t="str">
        <f t="shared" si="0"/>
        <v>Produksjonslønn</v>
      </c>
      <c r="H5" s="29"/>
      <c r="I5" s="29">
        <f t="shared" si="1"/>
        <v>-1700</v>
      </c>
      <c r="J5" s="29">
        <f t="shared" si="2"/>
        <v>-3359.2</v>
      </c>
      <c r="K5" s="29">
        <f t="shared" si="3"/>
        <v>-1470.9760000000003</v>
      </c>
    </row>
    <row r="6" spans="1:11" ht="15">
      <c r="A6" s="4" t="str">
        <f>'Pris og volum'!H6</f>
        <v>Dekningsbidrag</v>
      </c>
      <c r="B6" s="29"/>
      <c r="C6" s="29">
        <f>'Pris og volum'!J6</f>
        <v>4800</v>
      </c>
      <c r="D6" s="29">
        <f>'Pris og volum'!K6</f>
        <v>9484.8</v>
      </c>
      <c r="E6" s="29">
        <f>'Pris og volum'!L6</f>
        <v>4153.344000000001</v>
      </c>
      <c r="G6" s="29" t="str">
        <f t="shared" si="0"/>
        <v>Dekningsbidrag</v>
      </c>
      <c r="H6" s="29"/>
      <c r="I6" s="29">
        <f t="shared" si="1"/>
        <v>4800</v>
      </c>
      <c r="J6" s="29">
        <f t="shared" si="2"/>
        <v>9484.8</v>
      </c>
      <c r="K6" s="29">
        <f t="shared" si="3"/>
        <v>4153.344000000001</v>
      </c>
    </row>
    <row r="7" spans="1:11" ht="15">
      <c r="A7" s="4" t="str">
        <f>'Pris og volum'!H7</f>
        <v>Faste utbetalinger</v>
      </c>
      <c r="B7" s="29"/>
      <c r="C7" s="29">
        <f>'Pris og volum'!J7</f>
        <v>-3055</v>
      </c>
      <c r="D7" s="32">
        <f>'Pris og volum'!K7</f>
        <v>-3177.2000000000003</v>
      </c>
      <c r="E7" s="29">
        <f>'Pris og volum'!L7</f>
        <v>-3304.2880000000005</v>
      </c>
      <c r="G7" s="29" t="str">
        <f t="shared" si="0"/>
        <v>Faste utbetalinger</v>
      </c>
      <c r="H7" s="29"/>
      <c r="I7" s="29">
        <f t="shared" si="1"/>
        <v>-3055</v>
      </c>
      <c r="J7" s="29">
        <f t="shared" si="2"/>
        <v>-3177.2000000000003</v>
      </c>
      <c r="K7" s="29">
        <f t="shared" si="3"/>
        <v>-3304.2880000000005</v>
      </c>
    </row>
    <row r="8" spans="1:11" ht="15">
      <c r="A8" s="4" t="s">
        <v>72</v>
      </c>
      <c r="B8" s="29">
        <f>'Pris og volum'!I9</f>
        <v>-1800</v>
      </c>
      <c r="C8" s="29">
        <f>'Pris og volum'!J9</f>
        <v>-1756.8</v>
      </c>
      <c r="D8" s="29">
        <f>'Pris og volum'!K9</f>
        <v>1999.2959999999998</v>
      </c>
      <c r="E8" s="29">
        <f>'Pris og volum'!L9</f>
        <v>1557.5040000000001</v>
      </c>
      <c r="G8" s="29" t="str">
        <f t="shared" si="0"/>
        <v>Investering arbeidskapital</v>
      </c>
      <c r="H8" s="29">
        <f>B8</f>
        <v>-1800</v>
      </c>
      <c r="I8" s="29">
        <f t="shared" si="1"/>
        <v>-1756.8</v>
      </c>
      <c r="J8" s="29">
        <f t="shared" si="2"/>
        <v>1999.2959999999998</v>
      </c>
      <c r="K8" s="29">
        <f t="shared" si="3"/>
        <v>1557.5040000000001</v>
      </c>
    </row>
    <row r="9" spans="1:11" ht="15">
      <c r="A9" s="4" t="s">
        <v>73</v>
      </c>
      <c r="B9" s="29">
        <f>'Pris og volum'!I10</f>
        <v>-8800</v>
      </c>
      <c r="G9" s="29" t="str">
        <f t="shared" si="0"/>
        <v>Investering anleggskapital</v>
      </c>
      <c r="H9" s="29">
        <f>B9</f>
        <v>-8800</v>
      </c>
      <c r="I9" s="29"/>
      <c r="J9" s="29"/>
      <c r="K9" s="29"/>
    </row>
    <row r="10" spans="1:11" ht="15">
      <c r="A10" s="4" t="s">
        <v>41</v>
      </c>
      <c r="C10" s="29"/>
      <c r="D10" s="29"/>
      <c r="E10" s="29">
        <f>'Pris og volum'!L10</f>
        <v>3461.1200000000003</v>
      </c>
      <c r="G10" s="29" t="str">
        <f t="shared" si="0"/>
        <v>Restverdi</v>
      </c>
      <c r="H10" s="29"/>
      <c r="I10" s="29"/>
      <c r="J10" s="29"/>
      <c r="K10" s="29">
        <f t="shared" si="3"/>
        <v>3461.1200000000003</v>
      </c>
    </row>
    <row r="11" spans="1:11" ht="15">
      <c r="A11" s="4" t="s">
        <v>71</v>
      </c>
      <c r="B11" s="29">
        <f>'Pris og volum'!I11</f>
        <v>-10600</v>
      </c>
      <c r="C11" s="29">
        <f>'Pris og volum'!J11</f>
        <v>-11.799999999999955</v>
      </c>
      <c r="D11" s="29">
        <f>'Pris og volum'!K11</f>
        <v>8306.895999999999</v>
      </c>
      <c r="E11" s="29">
        <f>'Pris og volum'!L11</f>
        <v>5867.68</v>
      </c>
      <c r="G11" s="29" t="str">
        <f t="shared" si="0"/>
        <v>Til totalkapitalen før skatt</v>
      </c>
      <c r="H11" s="29">
        <f>B11</f>
        <v>-10600</v>
      </c>
      <c r="I11" s="29">
        <f t="shared" si="1"/>
        <v>-11.799999999999955</v>
      </c>
      <c r="J11" s="29">
        <f t="shared" si="2"/>
        <v>8306.895999999999</v>
      </c>
      <c r="K11" s="29">
        <f t="shared" si="3"/>
        <v>5867.68</v>
      </c>
    </row>
    <row r="12" spans="1:11" ht="15">
      <c r="A12" s="4" t="str">
        <f>Avskrivninger!A6</f>
        <v>Avskrivning</v>
      </c>
      <c r="B12" s="29"/>
      <c r="C12" s="29">
        <f>Avskrivninger!C6</f>
        <v>-1760</v>
      </c>
      <c r="D12" s="29">
        <f>Avskrivninger!D6</f>
        <v>-1408</v>
      </c>
      <c r="E12" s="29">
        <f>Avskrivninger!E6</f>
        <v>-1126.4</v>
      </c>
      <c r="G12" s="29" t="s">
        <v>67</v>
      </c>
      <c r="H12" s="29">
        <f aca="true" t="shared" si="4" ref="H12:K14">B17</f>
        <v>6000</v>
      </c>
      <c r="I12" s="29">
        <f t="shared" si="4"/>
        <v>0</v>
      </c>
      <c r="J12" s="29">
        <f t="shared" si="4"/>
        <v>0</v>
      </c>
      <c r="K12" s="29">
        <f t="shared" si="4"/>
        <v>0</v>
      </c>
    </row>
    <row r="13" spans="1:11" ht="15">
      <c r="A13" s="4" t="str">
        <f>'Tabell 2.15 og 2.16'!A10</f>
        <v>Meravskrivning</v>
      </c>
      <c r="B13" s="29"/>
      <c r="C13" s="29"/>
      <c r="D13" s="29"/>
      <c r="E13" s="29">
        <f>'Tabell 2.15 og 2.16'!E10</f>
        <v>-4505.6</v>
      </c>
      <c r="G13" s="29" t="str">
        <f>A18</f>
        <v>Avdrag</v>
      </c>
      <c r="H13" s="29">
        <f t="shared" si="4"/>
        <v>0</v>
      </c>
      <c r="I13" s="29">
        <f t="shared" si="4"/>
        <v>-2000</v>
      </c>
      <c r="J13" s="29">
        <f t="shared" si="4"/>
        <v>-2000</v>
      </c>
      <c r="K13" s="29">
        <f t="shared" si="4"/>
        <v>-2000</v>
      </c>
    </row>
    <row r="14" spans="1:11" ht="15">
      <c r="A14" s="4" t="str">
        <f>'Tabell 2.15 og 2.16'!A11</f>
        <v>Resultat før skatt</v>
      </c>
      <c r="B14" s="29"/>
      <c r="C14" s="29">
        <f>C6+C7+C10+C12+C13</f>
        <v>-15</v>
      </c>
      <c r="D14" s="29">
        <f>D6+D7+D10+D12+D13</f>
        <v>4899.5999999999985</v>
      </c>
      <c r="E14" s="29">
        <f>E6+E7+E10+E12+E13</f>
        <v>-1321.8239999999992</v>
      </c>
      <c r="G14" s="29" t="str">
        <f>A19</f>
        <v>Renter</v>
      </c>
      <c r="H14" s="29">
        <f t="shared" si="4"/>
        <v>0</v>
      </c>
      <c r="I14" s="29">
        <f t="shared" si="4"/>
        <v>-360</v>
      </c>
      <c r="J14" s="29">
        <f t="shared" si="4"/>
        <v>-240</v>
      </c>
      <c r="K14" s="29">
        <f t="shared" si="4"/>
        <v>-120</v>
      </c>
    </row>
    <row r="15" spans="1:11" ht="15">
      <c r="A15" s="4" t="s">
        <v>61</v>
      </c>
      <c r="B15" s="29"/>
      <c r="C15" s="29">
        <f>-C14*'Tabell 2.15 og 2.16'!$C$2</f>
        <v>4.2</v>
      </c>
      <c r="D15" s="29">
        <f>-D14*'Tabell 2.15 og 2.16'!$C$2</f>
        <v>-1371.8879999999997</v>
      </c>
      <c r="E15" s="29">
        <f>-E14*'Tabell 2.15 og 2.16'!$C$2</f>
        <v>370.1107199999998</v>
      </c>
      <c r="G15" s="29" t="s">
        <v>77</v>
      </c>
      <c r="H15" s="29">
        <f>SUM(H11:H14)</f>
        <v>-4600</v>
      </c>
      <c r="I15" s="29">
        <f>SUM(I11:I14)</f>
        <v>-2371.8</v>
      </c>
      <c r="J15" s="29">
        <f>SUM(J11:J14)</f>
        <v>6066.895999999999</v>
      </c>
      <c r="K15" s="29">
        <f>SUM(K11:K14)</f>
        <v>3747.6800000000003</v>
      </c>
    </row>
    <row r="16" spans="1:11" ht="15">
      <c r="A16" s="4" t="s">
        <v>74</v>
      </c>
      <c r="B16" s="29">
        <f>B11+B15</f>
        <v>-10600</v>
      </c>
      <c r="C16" s="29">
        <f>C11+C15</f>
        <v>-7.599999999999954</v>
      </c>
      <c r="D16" s="29">
        <f>D11+D15</f>
        <v>6935.007999999999</v>
      </c>
      <c r="E16" s="29">
        <f>E11+E15</f>
        <v>6237.79072</v>
      </c>
      <c r="G16" s="29" t="str">
        <f>A12</f>
        <v>Avskrivning</v>
      </c>
      <c r="H16" s="29"/>
      <c r="I16" s="29">
        <f>C12</f>
        <v>-1760</v>
      </c>
      <c r="J16" s="29">
        <f>D12</f>
        <v>-1408</v>
      </c>
      <c r="K16" s="29">
        <f>E12</f>
        <v>-1126.4</v>
      </c>
    </row>
    <row r="17" spans="1:11" ht="15">
      <c r="A17" s="4" t="str">
        <f>Finansiering!A2</f>
        <v>Lånebeløp</v>
      </c>
      <c r="B17" s="29">
        <f>Finansiering!B2</f>
        <v>6000</v>
      </c>
      <c r="C17" s="29"/>
      <c r="D17" s="29"/>
      <c r="E17" s="29"/>
      <c r="G17" s="29" t="str">
        <f>A13</f>
        <v>Meravskrivning</v>
      </c>
      <c r="H17" s="29"/>
      <c r="I17" s="29"/>
      <c r="J17" s="29"/>
      <c r="K17" s="29">
        <f>E13</f>
        <v>-4505.6</v>
      </c>
    </row>
    <row r="18" spans="1:11" ht="15">
      <c r="A18" s="4" t="str">
        <f>Finansiering!A25</f>
        <v>Avdrag</v>
      </c>
      <c r="B18" s="29"/>
      <c r="C18" s="29">
        <f>Finansiering!C25</f>
        <v>-2000</v>
      </c>
      <c r="D18" s="29">
        <f>Finansiering!D25</f>
        <v>-2000</v>
      </c>
      <c r="E18" s="29">
        <f>Finansiering!E25</f>
        <v>-2000</v>
      </c>
      <c r="G18" s="29" t="str">
        <f>A14</f>
        <v>Resultat før skatt</v>
      </c>
      <c r="H18" s="29"/>
      <c r="I18" s="29">
        <f>I11-I8+I14+I16+I17</f>
        <v>-375</v>
      </c>
      <c r="J18" s="29">
        <f>J11-J8+J14+J16+J17</f>
        <v>4659.5999999999985</v>
      </c>
      <c r="K18" s="29">
        <f>K11-K8+K14+K16+K17</f>
        <v>-1441.824</v>
      </c>
    </row>
    <row r="19" spans="1:11" ht="15">
      <c r="A19" s="4" t="str">
        <f>Finansiering!A24</f>
        <v>Renter</v>
      </c>
      <c r="B19" s="29"/>
      <c r="C19" s="29">
        <f>Finansiering!C24</f>
        <v>-360</v>
      </c>
      <c r="D19" s="29">
        <f>Finansiering!D24</f>
        <v>-240</v>
      </c>
      <c r="E19" s="29">
        <f>Finansiering!E24</f>
        <v>-120</v>
      </c>
      <c r="G19" s="29" t="s">
        <v>61</v>
      </c>
      <c r="H19" s="29"/>
      <c r="I19" s="29">
        <f>-I18*'Tabell 2.15 og 2.16'!$C$2</f>
        <v>105.00000000000001</v>
      </c>
      <c r="J19" s="29">
        <f>-J18*'Tabell 2.15 og 2.16'!$C$2</f>
        <v>-1304.6879999999996</v>
      </c>
      <c r="K19" s="29">
        <f>-K18*'Tabell 2.15 og 2.16'!$C$2</f>
        <v>403.71072000000004</v>
      </c>
    </row>
    <row r="20" spans="1:11" ht="15">
      <c r="A20" s="4" t="s">
        <v>75</v>
      </c>
      <c r="B20" s="29"/>
      <c r="C20" s="29">
        <f>-C19*'Tabell 2.15 og 2.16'!$C$2</f>
        <v>100.80000000000001</v>
      </c>
      <c r="D20" s="29">
        <f>-D19*'Tabell 2.15 og 2.16'!$C$2</f>
        <v>67.2</v>
      </c>
      <c r="E20" s="29">
        <f>-E19*'Tabell 2.15 og 2.16'!$C$2</f>
        <v>33.6</v>
      </c>
      <c r="G20" s="29" t="str">
        <f>A21</f>
        <v>Til egenkapitalen etter skatt</v>
      </c>
      <c r="H20" s="29">
        <f>H15+H19</f>
        <v>-4600</v>
      </c>
      <c r="I20" s="29">
        <f>I15+I19</f>
        <v>-2266.8</v>
      </c>
      <c r="J20" s="29">
        <f>J15+J19</f>
        <v>4762.207999999999</v>
      </c>
      <c r="K20" s="29">
        <f>K15+K19</f>
        <v>4151.39072</v>
      </c>
    </row>
    <row r="21" spans="1:11" ht="15.75" thickBot="1">
      <c r="A21" s="33" t="s">
        <v>76</v>
      </c>
      <c r="B21" s="33">
        <f>SUM(B16:B20)</f>
        <v>-4600</v>
      </c>
      <c r="C21" s="33">
        <f>SUM(C16:C20)</f>
        <v>-2266.7999999999997</v>
      </c>
      <c r="D21" s="33">
        <f>SUM(D16:D20)</f>
        <v>4762.207999999999</v>
      </c>
      <c r="E21" s="33">
        <f>SUM(E16:E20)</f>
        <v>4151.39072</v>
      </c>
      <c r="G21" s="29" t="str">
        <f>G12</f>
        <v>Låneopptak</v>
      </c>
      <c r="H21" s="29">
        <f>-H12</f>
        <v>-6000</v>
      </c>
      <c r="I21" s="29"/>
      <c r="J21" s="29"/>
      <c r="K21" s="29"/>
    </row>
    <row r="22" spans="7:11" ht="15.75" thickTop="1">
      <c r="G22" s="29" t="str">
        <f>G13</f>
        <v>Avdrag</v>
      </c>
      <c r="H22" s="29"/>
      <c r="I22" s="29">
        <f>-I13</f>
        <v>2000</v>
      </c>
      <c r="J22" s="29">
        <f>-J13</f>
        <v>2000</v>
      </c>
      <c r="K22" s="29">
        <f>-K13</f>
        <v>2000</v>
      </c>
    </row>
    <row r="23" spans="1:11" ht="15">
      <c r="A23" s="4"/>
      <c r="G23" s="29" t="str">
        <f>G14</f>
        <v>Renter</v>
      </c>
      <c r="H23" s="29"/>
      <c r="I23" s="29">
        <f>-I14*(1-'Tabell 2.15 og 2.16'!$C$2)</f>
        <v>259.2</v>
      </c>
      <c r="J23" s="29">
        <f>-J14*(1-'Tabell 2.15 og 2.16'!$C$2)</f>
        <v>172.79999999999998</v>
      </c>
      <c r="K23" s="29">
        <f>-K14*(1-'Tabell 2.15 og 2.16'!$C$2)</f>
        <v>86.39999999999999</v>
      </c>
    </row>
    <row r="24" spans="7:11" ht="15.75" thickBot="1">
      <c r="G24" s="33" t="str">
        <f>A16</f>
        <v>Til totalkapitalen etter skatt</v>
      </c>
      <c r="H24" s="33">
        <f>SUM(H20:H23)</f>
        <v>-10600</v>
      </c>
      <c r="I24" s="33">
        <f>SUM(I20:I23)</f>
        <v>-7.600000000000193</v>
      </c>
      <c r="J24" s="33">
        <f>SUM(J20:J23)</f>
        <v>6935.007999999999</v>
      </c>
      <c r="K24" s="33">
        <f>SUM(K20:K23)</f>
        <v>6237.79072</v>
      </c>
    </row>
    <row r="25" ht="13.5" thickTop="1"/>
    <row r="29" ht="15">
      <c r="F29" s="34"/>
    </row>
  </sheetData>
  <sheetProtection/>
  <mergeCells count="2">
    <mergeCell ref="B1:E1"/>
    <mergeCell ref="H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8.57421875" style="0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</cols>
  <sheetData>
    <row r="1" ht="43.5" customHeight="1">
      <c r="A1" s="4" t="s">
        <v>0</v>
      </c>
    </row>
    <row r="2" spans="1:5" ht="15">
      <c r="A2" s="4"/>
      <c r="B2" s="37" t="str">
        <f>'Pris og volum'!I1</f>
        <v>År</v>
      </c>
      <c r="C2" s="37"/>
      <c r="D2" s="37"/>
      <c r="E2" s="37"/>
    </row>
    <row r="3" spans="1:5" ht="15">
      <c r="A3" s="34"/>
      <c r="B3" s="34">
        <f>'Pris og volum'!I2</f>
        <v>2010</v>
      </c>
      <c r="C3" s="34">
        <f>'Pris og volum'!J2</f>
        <v>2011</v>
      </c>
      <c r="D3" s="34">
        <f>'Pris og volum'!K2</f>
        <v>2012</v>
      </c>
      <c r="E3" s="34">
        <f>'Pris og volum'!L2</f>
        <v>2013</v>
      </c>
    </row>
    <row r="4" spans="1:5" ht="15">
      <c r="A4" s="4" t="str">
        <f>'Pris og volum'!H3</f>
        <v>Omsetning</v>
      </c>
      <c r="B4" s="29">
        <f>'Pris og volum'!I3</f>
        <v>0</v>
      </c>
      <c r="C4" s="29">
        <f>'Pris og volum'!J3</f>
        <v>12000</v>
      </c>
      <c r="D4" s="29">
        <f>'Pris og volum'!K3</f>
        <v>23712</v>
      </c>
      <c r="E4" s="29">
        <f>'Pris og volum'!L3</f>
        <v>10383.360000000002</v>
      </c>
    </row>
    <row r="5" spans="1:5" ht="15">
      <c r="A5" s="4" t="str">
        <f>'Pris og volum'!H4</f>
        <v>Råmaterialer</v>
      </c>
      <c r="B5" s="29">
        <f>'Pris og volum'!I4</f>
        <v>0</v>
      </c>
      <c r="C5" s="29">
        <f>'Pris og volum'!J4</f>
        <v>-5500</v>
      </c>
      <c r="D5" s="29">
        <f>'Pris og volum'!K4</f>
        <v>-10868</v>
      </c>
      <c r="E5" s="29">
        <f>'Pris og volum'!L4</f>
        <v>-4759.040000000001</v>
      </c>
    </row>
    <row r="6" spans="1:5" ht="15">
      <c r="A6" s="4" t="str">
        <f>'Pris og volum'!H5</f>
        <v>Produksjonslønn</v>
      </c>
      <c r="B6" s="29">
        <f>'Pris og volum'!I5</f>
        <v>0</v>
      </c>
      <c r="C6" s="29">
        <f>'Pris og volum'!J5</f>
        <v>-1700</v>
      </c>
      <c r="D6" s="29">
        <f>'Pris og volum'!K5</f>
        <v>-3359.2</v>
      </c>
      <c r="E6" s="29">
        <f>'Pris og volum'!L5</f>
        <v>-1470.9760000000003</v>
      </c>
    </row>
    <row r="7" spans="1:5" ht="15">
      <c r="A7" s="4" t="str">
        <f>'Pris og volum'!H6</f>
        <v>Dekningsbidrag</v>
      </c>
      <c r="B7" s="29">
        <f>'Pris og volum'!I6</f>
        <v>0</v>
      </c>
      <c r="C7" s="29">
        <f>'Pris og volum'!J6</f>
        <v>4800</v>
      </c>
      <c r="D7" s="29">
        <f>'Pris og volum'!K6</f>
        <v>9484.8</v>
      </c>
      <c r="E7" s="29">
        <f>'Pris og volum'!L6</f>
        <v>4153.344000000001</v>
      </c>
    </row>
    <row r="8" spans="1:5" ht="15">
      <c r="A8" s="4" t="str">
        <f>'Pris og volum'!H7</f>
        <v>Faste utbetalinger</v>
      </c>
      <c r="B8" s="29">
        <f>'Pris og volum'!I7</f>
        <v>0</v>
      </c>
      <c r="C8" s="29">
        <f>'Pris og volum'!J7</f>
        <v>-3055</v>
      </c>
      <c r="D8" s="29">
        <f>'Pris og volum'!K7</f>
        <v>-3177.2000000000003</v>
      </c>
      <c r="E8" s="29">
        <f>'Pris og volum'!L7</f>
        <v>-3304.2880000000005</v>
      </c>
    </row>
    <row r="9" spans="1:5" ht="15">
      <c r="A9" s="4" t="str">
        <f>'Pris og volum'!H8</f>
        <v>Investering</v>
      </c>
      <c r="B9" s="29">
        <f>'Pris og volum'!I8</f>
        <v>0</v>
      </c>
      <c r="C9" s="29">
        <f>'Pris og volum'!J8</f>
        <v>0</v>
      </c>
      <c r="D9" s="29">
        <f>'Pris og volum'!K8</f>
        <v>0</v>
      </c>
      <c r="E9" s="29">
        <f>'Pris og volum'!L8</f>
        <v>0</v>
      </c>
    </row>
    <row r="10" spans="1:5" ht="15">
      <c r="A10" s="4" t="str">
        <f>'Pris og volum'!H9</f>
        <v>     Arbeidskapital</v>
      </c>
      <c r="B10" s="29">
        <f>'Pris og volum'!I9</f>
        <v>-1800</v>
      </c>
      <c r="C10" s="29">
        <f>'Pris og volum'!J9</f>
        <v>-1756.8</v>
      </c>
      <c r="D10" s="29">
        <f>'Pris og volum'!K9</f>
        <v>1999.2959999999998</v>
      </c>
      <c r="E10" s="29">
        <f>'Pris og volum'!L9</f>
        <v>1557.5040000000001</v>
      </c>
    </row>
    <row r="11" spans="1:5" ht="15">
      <c r="A11" s="4" t="str">
        <f>'Pris og volum'!H10</f>
        <v>     Anleggskapital/restverdi</v>
      </c>
      <c r="B11" s="29">
        <f>'Pris og volum'!I10</f>
        <v>-8800</v>
      </c>
      <c r="C11" s="29">
        <f>'Pris og volum'!J10</f>
        <v>0</v>
      </c>
      <c r="D11" s="29">
        <f>'Pris og volum'!K10</f>
        <v>0</v>
      </c>
      <c r="E11" s="29">
        <f>'Pris og volum'!L10</f>
        <v>3461.1200000000003</v>
      </c>
    </row>
    <row r="12" spans="1:5" ht="15">
      <c r="A12" s="4" t="s">
        <v>66</v>
      </c>
      <c r="B12" s="29">
        <f>'Pris og volum'!I11</f>
        <v>-10600</v>
      </c>
      <c r="C12" s="29">
        <f>'Pris og volum'!J11</f>
        <v>-11.799999999999955</v>
      </c>
      <c r="D12" s="29">
        <f>'Pris og volum'!K11</f>
        <v>8306.895999999999</v>
      </c>
      <c r="E12" s="29">
        <f>'Pris og volum'!L11</f>
        <v>5867.68</v>
      </c>
    </row>
    <row r="13" spans="1:5" ht="15">
      <c r="A13" s="4" t="s">
        <v>67</v>
      </c>
      <c r="B13" s="29">
        <f>Finansiering!B2</f>
        <v>6000</v>
      </c>
      <c r="C13" s="29"/>
      <c r="D13" s="29"/>
      <c r="E13" s="29"/>
    </row>
    <row r="14" spans="1:5" ht="15">
      <c r="A14" s="4" t="str">
        <f>Finansiering!A24</f>
        <v>Renter</v>
      </c>
      <c r="B14" s="29"/>
      <c r="C14" s="29">
        <f>Finansiering!C24</f>
        <v>-360</v>
      </c>
      <c r="D14" s="29">
        <f>Finansiering!D24</f>
        <v>-240</v>
      </c>
      <c r="E14" s="29">
        <f>Finansiering!E24</f>
        <v>-120</v>
      </c>
    </row>
    <row r="15" spans="1:5" ht="15">
      <c r="A15" s="4" t="str">
        <f>Finansiering!A25</f>
        <v>Avdrag</v>
      </c>
      <c r="B15" s="29"/>
      <c r="C15" s="29">
        <f>Finansiering!C25</f>
        <v>-2000</v>
      </c>
      <c r="D15" s="29">
        <f>Finansiering!D25</f>
        <v>-2000</v>
      </c>
      <c r="E15" s="29">
        <f>Finansiering!E25</f>
        <v>-2000</v>
      </c>
    </row>
    <row r="16" spans="1:5" ht="15.75" thickBot="1">
      <c r="A16" s="33" t="s">
        <v>68</v>
      </c>
      <c r="B16" s="33">
        <f>SUM(B12:B15)</f>
        <v>-4600</v>
      </c>
      <c r="C16" s="33">
        <f>SUM(C12:C15)</f>
        <v>-2371.8</v>
      </c>
      <c r="D16" s="33">
        <f>SUM(D12:D15)</f>
        <v>6066.895999999999</v>
      </c>
      <c r="E16" s="33">
        <f>SUM(E12:E15)</f>
        <v>3747.6800000000003</v>
      </c>
    </row>
    <row r="17" ht="13.5" thickTop="1"/>
    <row r="18" ht="15">
      <c r="D18" s="29"/>
    </row>
    <row r="27" ht="15">
      <c r="D27" s="29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42" sqref="F42"/>
    </sheetView>
  </sheetViews>
  <sheetFormatPr defaultColWidth="9.140625" defaultRowHeight="12.75"/>
  <cols>
    <col min="1" max="1" width="32.00390625" style="0" customWidth="1"/>
    <col min="2" max="4" width="10.57421875" style="0" bestFit="1" customWidth="1"/>
  </cols>
  <sheetData>
    <row r="1" ht="71.25" customHeight="1">
      <c r="A1" s="4" t="s">
        <v>0</v>
      </c>
    </row>
    <row r="2" spans="1:3" ht="15" customHeight="1">
      <c r="A2" s="4" t="s">
        <v>65</v>
      </c>
      <c r="C2" s="24">
        <v>0.28</v>
      </c>
    </row>
    <row r="3" spans="2:5" ht="15">
      <c r="B3" s="39" t="s">
        <v>3</v>
      </c>
      <c r="C3" s="39"/>
      <c r="D3" s="39"/>
      <c r="E3" s="39"/>
    </row>
    <row r="4" spans="1:5" ht="15">
      <c r="A4" s="34"/>
      <c r="B4" s="34">
        <f>'Pris og volum'!I2</f>
        <v>2010</v>
      </c>
      <c r="C4" s="34">
        <f>'Pris og volum'!J2</f>
        <v>2011</v>
      </c>
      <c r="D4" s="34">
        <f>'Pris og volum'!K2</f>
        <v>2012</v>
      </c>
      <c r="E4" s="34">
        <f>'Pris og volum'!L2</f>
        <v>2013</v>
      </c>
    </row>
    <row r="5" spans="1:5" ht="15">
      <c r="A5" s="4" t="str">
        <f>'Pris og volum'!H6</f>
        <v>Dekningsbidrag</v>
      </c>
      <c r="C5" s="29">
        <f>'Pris og volum'!J6</f>
        <v>4800</v>
      </c>
      <c r="D5" s="29">
        <f>'Pris og volum'!K6</f>
        <v>9484.8</v>
      </c>
      <c r="E5" s="29">
        <f>'Pris og volum'!L6</f>
        <v>4153.344000000001</v>
      </c>
    </row>
    <row r="6" spans="1:5" ht="15">
      <c r="A6" s="4" t="str">
        <f>'Pris og volum'!H7</f>
        <v>Faste utbetalinger</v>
      </c>
      <c r="C6" s="29">
        <f>'Pris og volum'!J7</f>
        <v>-3055</v>
      </c>
      <c r="D6" s="29">
        <f>'Pris og volum'!K7</f>
        <v>-3177.2000000000003</v>
      </c>
      <c r="E6" s="29">
        <f>'Pris og volum'!L7</f>
        <v>-3304.2880000000005</v>
      </c>
    </row>
    <row r="7" spans="1:5" ht="15">
      <c r="A7" s="4" t="str">
        <f>Finansiering!A24</f>
        <v>Renter</v>
      </c>
      <c r="C7" s="29">
        <f>Finansiering!C24</f>
        <v>-360</v>
      </c>
      <c r="D7" s="29">
        <f>Finansiering!D24</f>
        <v>-240</v>
      </c>
      <c r="E7" s="29">
        <f>Finansiering!E24</f>
        <v>-120</v>
      </c>
    </row>
    <row r="8" spans="1:5" ht="15">
      <c r="A8" s="4" t="str">
        <f>Avskrivninger!A6</f>
        <v>Avskrivning</v>
      </c>
      <c r="C8" s="29">
        <f>Avskrivninger!C6</f>
        <v>-1760</v>
      </c>
      <c r="D8" s="29">
        <f>Avskrivninger!D6</f>
        <v>-1408</v>
      </c>
      <c r="E8" s="29">
        <f>Avskrivninger!E6</f>
        <v>-1126.4</v>
      </c>
    </row>
    <row r="9" spans="1:5" ht="15">
      <c r="A9" s="4" t="s">
        <v>41</v>
      </c>
      <c r="C9" s="29"/>
      <c r="D9" s="29"/>
      <c r="E9" s="29">
        <f>'Pris og volum'!L10</f>
        <v>3461.1200000000003</v>
      </c>
    </row>
    <row r="10" spans="1:5" ht="15">
      <c r="A10" s="4" t="s">
        <v>59</v>
      </c>
      <c r="C10" s="29"/>
      <c r="D10" s="29"/>
      <c r="E10" s="29">
        <f>Avskrivninger!C5-Avskrivninger!F6</f>
        <v>-4505.6</v>
      </c>
    </row>
    <row r="11" spans="1:5" ht="15">
      <c r="A11" s="4" t="s">
        <v>60</v>
      </c>
      <c r="C11" s="29">
        <f>SUM(C5:C10)</f>
        <v>-375</v>
      </c>
      <c r="D11" s="29">
        <f>SUM(D5:D10)</f>
        <v>4659.5999999999985</v>
      </c>
      <c r="E11" s="29">
        <f>SUM(E5:E10)</f>
        <v>-1441.8239999999996</v>
      </c>
    </row>
    <row r="12" spans="1:5" ht="15">
      <c r="A12" s="4" t="s">
        <v>61</v>
      </c>
      <c r="C12" s="31">
        <f>-C11*$C$2</f>
        <v>105.00000000000001</v>
      </c>
      <c r="D12" s="31">
        <f>-D11*$C$2</f>
        <v>-1304.6879999999996</v>
      </c>
      <c r="E12" s="31">
        <f>-E11*$C$2</f>
        <v>403.7107199999999</v>
      </c>
    </row>
    <row r="13" spans="1:11" ht="15">
      <c r="A13" s="4" t="s">
        <v>62</v>
      </c>
      <c r="C13" s="31">
        <f>C11+C12</f>
        <v>-270</v>
      </c>
      <c r="D13" s="31">
        <f>D11+D12</f>
        <v>3354.911999999999</v>
      </c>
      <c r="E13" s="31">
        <f>E11+E12</f>
        <v>-1038.1132799999996</v>
      </c>
      <c r="K13" s="1"/>
    </row>
    <row r="14" spans="2:4" ht="15">
      <c r="B14" s="4"/>
      <c r="C14" s="4"/>
      <c r="D14" s="4"/>
    </row>
    <row r="15" spans="1:5" ht="15">
      <c r="A15" s="4" t="s">
        <v>69</v>
      </c>
      <c r="B15" s="31">
        <f>'Tabell 2.11'!B16</f>
        <v>-4600</v>
      </c>
      <c r="C15" s="31">
        <f>'Tabell 2.11'!C16</f>
        <v>-2371.8</v>
      </c>
      <c r="D15" s="31">
        <f>'Tabell 2.11'!D16</f>
        <v>6066.895999999999</v>
      </c>
      <c r="E15" s="31">
        <f>'Tabell 2.11'!E16</f>
        <v>3747.6800000000003</v>
      </c>
    </row>
    <row r="16" spans="1:5" ht="15">
      <c r="A16" s="4" t="str">
        <f>A12</f>
        <v>Skatt</v>
      </c>
      <c r="B16" s="31"/>
      <c r="C16" s="31">
        <f>C12</f>
        <v>105.00000000000001</v>
      </c>
      <c r="D16" s="31">
        <f>D12</f>
        <v>-1304.6879999999996</v>
      </c>
      <c r="E16" s="31">
        <f>E12</f>
        <v>403.7107199999999</v>
      </c>
    </row>
    <row r="17" spans="1:5" ht="15.75" thickBot="1">
      <c r="A17" s="33" t="s">
        <v>70</v>
      </c>
      <c r="B17" s="33">
        <f>B15+B16</f>
        <v>-4600</v>
      </c>
      <c r="C17" s="33">
        <f>C15+C16</f>
        <v>-2266.8</v>
      </c>
      <c r="D17" s="33">
        <f>D15+D16</f>
        <v>4762.207999999999</v>
      </c>
      <c r="E17" s="33">
        <f>E15+E16</f>
        <v>4151.39072</v>
      </c>
    </row>
    <row r="18" ht="13.5" thickTop="1"/>
    <row r="20" ht="15">
      <c r="D20" s="31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2009-06-09T10:59:07Z</dcterms:created>
  <dcterms:modified xsi:type="dcterms:W3CDTF">2009-09-16T11:06:41Z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